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edonka.angjelova\Desktop\"/>
    </mc:Choice>
  </mc:AlternateContent>
  <xr:revisionPtr revIDLastSave="0" documentId="8_{E8662538-D3C9-4ED7-847B-96FB6078CDD9}" xr6:coauthVersionLast="47" xr6:coauthVersionMax="47" xr10:uidLastSave="{00000000-0000-0000-0000-000000000000}"/>
  <bookViews>
    <workbookView xWindow="-120" yWindow="-120" windowWidth="29040" windowHeight="15720" xr2:uid="{1B39D669-02DA-4FF2-9BF9-6B98CA9FAE6D}"/>
  </bookViews>
  <sheets>
    <sheet name="socijalna_zastita" sheetId="2" r:id="rId1"/>
    <sheet name="zastita_deca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3" l="1"/>
  <c r="G17" i="3"/>
  <c r="F17" i="3"/>
  <c r="E17" i="3"/>
  <c r="P17" i="3"/>
  <c r="O17" i="3"/>
  <c r="N17" i="3"/>
  <c r="M17" i="3"/>
  <c r="D18" i="3"/>
  <c r="C18" i="3"/>
  <c r="E36" i="2"/>
  <c r="D36" i="2"/>
  <c r="T18" i="2"/>
  <c r="S18" i="2"/>
  <c r="R18" i="2"/>
  <c r="Q18" i="2"/>
  <c r="P18" i="2"/>
  <c r="O18" i="2"/>
  <c r="N18" i="2"/>
  <c r="M18" i="2"/>
  <c r="M19" i="2" s="1"/>
  <c r="L18" i="2"/>
  <c r="K18" i="2"/>
  <c r="J18" i="2"/>
  <c r="I18" i="2"/>
  <c r="I19" i="2" s="1"/>
  <c r="H18" i="2"/>
  <c r="G18" i="2"/>
  <c r="F18" i="2"/>
  <c r="E18" i="2"/>
  <c r="D18" i="2"/>
  <c r="C18" i="2"/>
  <c r="E35" i="2"/>
  <c r="D35" i="2"/>
  <c r="E34" i="2"/>
  <c r="D34" i="2"/>
  <c r="E32" i="2"/>
  <c r="E37" i="2" s="1"/>
  <c r="D32" i="2"/>
  <c r="G37" i="2"/>
  <c r="F37" i="2"/>
  <c r="U18" i="2"/>
  <c r="V18" i="2" s="1"/>
  <c r="U17" i="2"/>
  <c r="V17" i="2" s="1"/>
  <c r="U16" i="2"/>
  <c r="V16" i="2" s="1"/>
  <c r="U15" i="2"/>
  <c r="V15" i="2" s="1"/>
  <c r="U14" i="2"/>
  <c r="V14" i="2" s="1"/>
  <c r="U13" i="2"/>
  <c r="V13" i="2" s="1"/>
  <c r="T17" i="2"/>
  <c r="S17" i="2"/>
  <c r="R17" i="2"/>
  <c r="Q17" i="2"/>
  <c r="P17" i="2"/>
  <c r="O17" i="2"/>
  <c r="N17" i="2"/>
  <c r="M17" i="2"/>
  <c r="J17" i="2"/>
  <c r="I17" i="2"/>
  <c r="H17" i="2"/>
  <c r="G17" i="2"/>
  <c r="F17" i="2"/>
  <c r="E17" i="2"/>
  <c r="D17" i="2"/>
  <c r="C17" i="2"/>
  <c r="T16" i="2"/>
  <c r="T19" i="2" s="1"/>
  <c r="S16" i="2"/>
  <c r="R16" i="2"/>
  <c r="Q16" i="2"/>
  <c r="P16" i="2"/>
  <c r="P19" i="2" s="1"/>
  <c r="O16" i="2"/>
  <c r="N16" i="2"/>
  <c r="M16" i="2"/>
  <c r="J16" i="2"/>
  <c r="I16" i="2"/>
  <c r="F16" i="2"/>
  <c r="E16" i="2"/>
  <c r="D16" i="2"/>
  <c r="C16" i="2"/>
  <c r="T15" i="2"/>
  <c r="S15" i="2"/>
  <c r="R15" i="2"/>
  <c r="Q15" i="2"/>
  <c r="P15" i="2"/>
  <c r="O15" i="2"/>
  <c r="N15" i="2"/>
  <c r="M15" i="2"/>
  <c r="J15" i="2"/>
  <c r="I15" i="2"/>
  <c r="H15" i="2"/>
  <c r="G15" i="2"/>
  <c r="F15" i="2"/>
  <c r="E15" i="2"/>
  <c r="D15" i="2"/>
  <c r="C15" i="2"/>
  <c r="T14" i="2"/>
  <c r="S14" i="2"/>
  <c r="R14" i="2"/>
  <c r="Q14" i="2"/>
  <c r="P14" i="2"/>
  <c r="O14" i="2"/>
  <c r="N14" i="2"/>
  <c r="M14" i="2"/>
  <c r="J14" i="2"/>
  <c r="I14" i="2"/>
  <c r="H14" i="2"/>
  <c r="H19" i="2" s="1"/>
  <c r="G14" i="2"/>
  <c r="F14" i="2"/>
  <c r="E14" i="2"/>
  <c r="D14" i="2"/>
  <c r="D19" i="2" s="1"/>
  <c r="C14" i="2"/>
  <c r="T13" i="2"/>
  <c r="S13" i="2"/>
  <c r="R13" i="2"/>
  <c r="Q13" i="2"/>
  <c r="P13" i="2"/>
  <c r="O13" i="2"/>
  <c r="N13" i="2"/>
  <c r="M13" i="2"/>
  <c r="L13" i="2"/>
  <c r="K13" i="2"/>
  <c r="F13" i="2"/>
  <c r="E13" i="2"/>
  <c r="D13" i="2"/>
  <c r="C13" i="2"/>
  <c r="P16" i="3"/>
  <c r="P15" i="3"/>
  <c r="P14" i="3"/>
  <c r="P13" i="3"/>
  <c r="P12" i="3"/>
  <c r="O16" i="3"/>
  <c r="O15" i="3"/>
  <c r="O14" i="3"/>
  <c r="O13" i="3"/>
  <c r="O12" i="3"/>
  <c r="N16" i="3"/>
  <c r="N15" i="3"/>
  <c r="N14" i="3"/>
  <c r="N13" i="3"/>
  <c r="N12" i="3"/>
  <c r="M16" i="3"/>
  <c r="M15" i="3"/>
  <c r="M14" i="3"/>
  <c r="M13" i="3"/>
  <c r="M12" i="3"/>
  <c r="L19" i="3"/>
  <c r="K19" i="3"/>
  <c r="J19" i="3"/>
  <c r="I19" i="3"/>
  <c r="H16" i="3"/>
  <c r="H15" i="3"/>
  <c r="H14" i="3"/>
  <c r="H13" i="3"/>
  <c r="H12" i="3"/>
  <c r="G16" i="3"/>
  <c r="G15" i="3"/>
  <c r="G14" i="3"/>
  <c r="G13" i="3"/>
  <c r="G12" i="3"/>
  <c r="F16" i="3"/>
  <c r="F15" i="3"/>
  <c r="F14" i="3"/>
  <c r="F13" i="3"/>
  <c r="E16" i="3"/>
  <c r="E15" i="3"/>
  <c r="E14" i="3"/>
  <c r="E13" i="3"/>
  <c r="D17" i="3"/>
  <c r="D16" i="3"/>
  <c r="D15" i="3"/>
  <c r="D14" i="3"/>
  <c r="D13" i="3"/>
  <c r="C17" i="3"/>
  <c r="C16" i="3"/>
  <c r="C15" i="3"/>
  <c r="C14" i="3"/>
  <c r="C13" i="3"/>
  <c r="S19" i="2"/>
  <c r="Q19" i="2"/>
  <c r="L19" i="2"/>
  <c r="E19" i="2"/>
  <c r="U10" i="2"/>
  <c r="V10" i="2" s="1"/>
  <c r="U9" i="2"/>
  <c r="V9" i="2" s="1"/>
  <c r="U8" i="2"/>
  <c r="V8" i="2" s="1"/>
  <c r="U7" i="2"/>
  <c r="V7" i="2" s="1"/>
  <c r="F19" i="3" l="1"/>
  <c r="H19" i="3"/>
  <c r="C19" i="3"/>
  <c r="D19" i="3"/>
  <c r="E19" i="3"/>
  <c r="G19" i="3"/>
  <c r="D37" i="2"/>
  <c r="F19" i="2"/>
  <c r="N19" i="2"/>
  <c r="R19" i="2"/>
  <c r="J19" i="2"/>
  <c r="C19" i="2"/>
  <c r="K19" i="2"/>
  <c r="O19" i="2"/>
  <c r="G19" i="2"/>
  <c r="U19" i="2"/>
  <c r="R19" i="3"/>
  <c r="Q19" i="3"/>
  <c r="P19" i="3"/>
  <c r="O19" i="3"/>
  <c r="N19" i="3"/>
  <c r="M19" i="3"/>
</calcChain>
</file>

<file path=xl/sharedStrings.xml><?xml version="1.0" encoding="utf-8"?>
<sst xmlns="http://schemas.openxmlformats.org/spreadsheetml/2006/main" count="109" uniqueCount="41">
  <si>
    <t>Ред. бр.</t>
  </si>
  <si>
    <t>Исплата за месец</t>
  </si>
  <si>
    <t>Азиланти  домување</t>
  </si>
  <si>
    <t>ВКУПНО</t>
  </si>
  <si>
    <t>износ</t>
  </si>
  <si>
    <t>Надоместок за помош и нега од друго лице</t>
  </si>
  <si>
    <t>ГМП -Гарантирана минимална помош</t>
  </si>
  <si>
    <t>Еднократна парична помош</t>
  </si>
  <si>
    <t>Додаток за домување</t>
  </si>
  <si>
    <t>Сместување во згриж.семејство</t>
  </si>
  <si>
    <t>Парична помош за згрижувач</t>
  </si>
  <si>
    <t>Цивилна инвалиднина</t>
  </si>
  <si>
    <t>Надоместок заради попреченост</t>
  </si>
  <si>
    <t>Вкупно</t>
  </si>
  <si>
    <t>Посебен додаток</t>
  </si>
  <si>
    <t>Еднократна парична помош за новороденче</t>
  </si>
  <si>
    <t>Родителски додаток за трето дете</t>
  </si>
  <si>
    <t>Родителски додаток за четврто дете</t>
  </si>
  <si>
    <t>Единствен родителски додаток</t>
  </si>
  <si>
    <t>12/24</t>
  </si>
  <si>
    <t>ВКУПНО:</t>
  </si>
  <si>
    <t>Детски додаток</t>
  </si>
  <si>
    <t>Образовен додаток - СТУДИРАЊЕ</t>
  </si>
  <si>
    <t>Образовен додаток - УПН</t>
  </si>
  <si>
    <t>бр. на исплати</t>
  </si>
  <si>
    <t>Социјална сигурност за стари лица</t>
  </si>
  <si>
    <t>здравствена заштита</t>
  </si>
  <si>
    <t>Исплата на права од социјална заштита во 2025 година</t>
  </si>
  <si>
    <t>Исплата на права од заштита на децата во 2025 година</t>
  </si>
  <si>
    <t>01/25</t>
  </si>
  <si>
    <t>02/25</t>
  </si>
  <si>
    <t>03/25</t>
  </si>
  <si>
    <t>04/25</t>
  </si>
  <si>
    <t>05/25</t>
  </si>
  <si>
    <t>06/25</t>
  </si>
  <si>
    <t>07/25</t>
  </si>
  <si>
    <t>08/25</t>
  </si>
  <si>
    <t>09/25</t>
  </si>
  <si>
    <t>10/25</t>
  </si>
  <si>
    <t>11/25</t>
  </si>
  <si>
    <t>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</si>
</sst>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medium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8"/>
      </right>
      <top style="thin">
        <color indexed="8"/>
      </top>
      <bottom style="thick">
        <color indexed="64"/>
      </bottom>
      <diagonal/>
    </border>
    <border>
      <left style="medium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medium">
        <color indexed="8"/>
      </right>
      <top/>
      <bottom style="medium">
        <color indexed="8"/>
      </bottom>
      <diagonal/>
    </border>
    <border>
      <left style="thick">
        <color indexed="64"/>
      </left>
      <right style="medium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8"/>
      </right>
      <top style="thin">
        <color indexed="8"/>
      </top>
      <bottom/>
      <diagonal/>
    </border>
    <border>
      <left style="thick">
        <color indexed="64"/>
      </left>
      <right style="medium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" fontId="1" fillId="4" borderId="25" xfId="0" applyNumberFormat="1" applyFont="1" applyFill="1" applyBorder="1"/>
    <xf numFmtId="1" fontId="1" fillId="4" borderId="31" xfId="0" applyNumberFormat="1" applyFont="1" applyFill="1" applyBorder="1"/>
    <xf numFmtId="1" fontId="1" fillId="4" borderId="34" xfId="0" applyNumberFormat="1" applyFont="1" applyFill="1" applyBorder="1"/>
    <xf numFmtId="3" fontId="1" fillId="4" borderId="26" xfId="0" applyNumberFormat="1" applyFont="1" applyFill="1" applyBorder="1"/>
    <xf numFmtId="3" fontId="1" fillId="4" borderId="9" xfId="0" applyNumberFormat="1" applyFont="1" applyFill="1" applyBorder="1"/>
    <xf numFmtId="3" fontId="1" fillId="4" borderId="16" xfId="0" applyNumberFormat="1" applyFont="1" applyFill="1" applyBorder="1"/>
    <xf numFmtId="3" fontId="1" fillId="4" borderId="27" xfId="0" applyNumberFormat="1" applyFont="1" applyFill="1" applyBorder="1"/>
    <xf numFmtId="3" fontId="1" fillId="4" borderId="35" xfId="0" applyNumberFormat="1" applyFont="1" applyFill="1" applyBorder="1"/>
    <xf numFmtId="1" fontId="1" fillId="0" borderId="10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wrapText="1"/>
    </xf>
    <xf numFmtId="1" fontId="1" fillId="0" borderId="25" xfId="0" applyNumberFormat="1" applyFont="1" applyBorder="1"/>
    <xf numFmtId="1" fontId="1" fillId="0" borderId="34" xfId="0" applyNumberFormat="1" applyFont="1" applyBorder="1"/>
    <xf numFmtId="3" fontId="1" fillId="0" borderId="27" xfId="0" applyNumberFormat="1" applyFont="1" applyBorder="1"/>
    <xf numFmtId="3" fontId="1" fillId="0" borderId="35" xfId="0" applyNumberFormat="1" applyFont="1" applyBorder="1"/>
    <xf numFmtId="3" fontId="1" fillId="0" borderId="13" xfId="0" applyNumberFormat="1" applyFont="1" applyBorder="1"/>
    <xf numFmtId="3" fontId="1" fillId="0" borderId="36" xfId="0" applyNumberFormat="1" applyFont="1" applyBorder="1"/>
    <xf numFmtId="3" fontId="1" fillId="4" borderId="13" xfId="0" applyNumberFormat="1" applyFont="1" applyFill="1" applyBorder="1"/>
    <xf numFmtId="3" fontId="1" fillId="4" borderId="36" xfId="0" applyNumberFormat="1" applyFont="1" applyFill="1" applyBorder="1"/>
    <xf numFmtId="3" fontId="1" fillId="0" borderId="16" xfId="0" applyNumberFormat="1" applyFont="1" applyBorder="1"/>
    <xf numFmtId="3" fontId="1" fillId="0" borderId="18" xfId="0" applyNumberFormat="1" applyFont="1" applyBorder="1"/>
    <xf numFmtId="3" fontId="1" fillId="4" borderId="18" xfId="0" applyNumberFormat="1" applyFont="1" applyFill="1" applyBorder="1"/>
    <xf numFmtId="3" fontId="1" fillId="4" borderId="28" xfId="0" applyNumberFormat="1" applyFont="1" applyFill="1" applyBorder="1"/>
    <xf numFmtId="3" fontId="1" fillId="4" borderId="38" xfId="0" applyNumberFormat="1" applyFont="1" applyFill="1" applyBorder="1"/>
    <xf numFmtId="3" fontId="1" fillId="4" borderId="29" xfId="0" applyNumberFormat="1" applyFont="1" applyFill="1" applyBorder="1"/>
    <xf numFmtId="3" fontId="1" fillId="4" borderId="30" xfId="0" applyNumberFormat="1" applyFont="1" applyFill="1" applyBorder="1"/>
    <xf numFmtId="3" fontId="1" fillId="0" borderId="11" xfId="0" applyNumberFormat="1" applyFont="1" applyBorder="1" applyAlignment="1">
      <alignment horizontal="right" vertical="center" wrapText="1"/>
    </xf>
    <xf numFmtId="0" fontId="1" fillId="0" borderId="32" xfId="0" applyFont="1" applyBorder="1"/>
    <xf numFmtId="1" fontId="1" fillId="11" borderId="25" xfId="0" applyNumberFormat="1" applyFont="1" applyFill="1" applyBorder="1"/>
    <xf numFmtId="3" fontId="1" fillId="0" borderId="0" xfId="0" applyNumberFormat="1" applyFont="1"/>
    <xf numFmtId="3" fontId="1" fillId="11" borderId="27" xfId="0" applyNumberFormat="1" applyFont="1" applyFill="1" applyBorder="1"/>
    <xf numFmtId="1" fontId="1" fillId="0" borderId="14" xfId="0" applyNumberFormat="1" applyFont="1" applyBorder="1"/>
    <xf numFmtId="3" fontId="1" fillId="0" borderId="33" xfId="0" applyNumberFormat="1" applyFont="1" applyBorder="1"/>
    <xf numFmtId="3" fontId="1" fillId="11" borderId="13" xfId="0" applyNumberFormat="1" applyFont="1" applyFill="1" applyBorder="1"/>
    <xf numFmtId="3" fontId="1" fillId="11" borderId="16" xfId="0" applyNumberFormat="1" applyFont="1" applyFill="1" applyBorder="1"/>
    <xf numFmtId="3" fontId="1" fillId="11" borderId="28" xfId="0" applyNumberFormat="1" applyFont="1" applyFill="1" applyBorder="1"/>
    <xf numFmtId="0" fontId="1" fillId="2" borderId="23" xfId="0" applyFont="1" applyFill="1" applyBorder="1" applyAlignment="1">
      <alignment horizontal="center" wrapText="1"/>
    </xf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/>
    <xf numFmtId="49" fontId="1" fillId="4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49" fontId="1" fillId="0" borderId="9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4" borderId="12" xfId="0" applyFont="1" applyFill="1" applyBorder="1"/>
    <xf numFmtId="49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/>
    <xf numFmtId="49" fontId="1" fillId="10" borderId="18" xfId="0" applyNumberFormat="1" applyFont="1" applyFill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/>
    <xf numFmtId="0" fontId="4" fillId="0" borderId="0" xfId="0" applyFont="1"/>
    <xf numFmtId="49" fontId="4" fillId="4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3" fontId="1" fillId="11" borderId="29" xfId="0" applyNumberFormat="1" applyFont="1" applyFill="1" applyBorder="1"/>
    <xf numFmtId="1" fontId="1" fillId="11" borderId="15" xfId="0" applyNumberFormat="1" applyFont="1" applyFill="1" applyBorder="1"/>
    <xf numFmtId="3" fontId="1" fillId="11" borderId="37" xfId="0" applyNumberFormat="1" applyFont="1" applyFill="1" applyBorder="1"/>
    <xf numFmtId="3" fontId="1" fillId="11" borderId="10" xfId="0" applyNumberFormat="1" applyFont="1" applyFill="1" applyBorder="1"/>
    <xf numFmtId="3" fontId="1" fillId="11" borderId="9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" fontId="5" fillId="11" borderId="13" xfId="1" applyNumberFormat="1" applyFont="1" applyFill="1" applyBorder="1"/>
    <xf numFmtId="3" fontId="5" fillId="11" borderId="39" xfId="1" applyNumberFormat="1" applyFont="1" applyFill="1" applyBorder="1"/>
    <xf numFmtId="1" fontId="5" fillId="11" borderId="13" xfId="0" applyNumberFormat="1" applyFont="1" applyFill="1" applyBorder="1"/>
    <xf numFmtId="3" fontId="5" fillId="11" borderId="27" xfId="0" applyNumberFormat="1" applyFont="1" applyFill="1" applyBorder="1"/>
    <xf numFmtId="1" fontId="5" fillId="11" borderId="25" xfId="0" applyNumberFormat="1" applyFont="1" applyFill="1" applyBorder="1"/>
    <xf numFmtId="3" fontId="5" fillId="11" borderId="13" xfId="0" applyNumberFormat="1" applyFont="1" applyFill="1" applyBorder="1"/>
    <xf numFmtId="3" fontId="5" fillId="11" borderId="16" xfId="0" applyNumberFormat="1" applyFont="1" applyFill="1" applyBorder="1"/>
    <xf numFmtId="3" fontId="5" fillId="11" borderId="28" xfId="0" applyNumberFormat="1" applyFont="1" applyFill="1" applyBorder="1"/>
    <xf numFmtId="3" fontId="5" fillId="11" borderId="40" xfId="0" applyNumberFormat="1" applyFont="1" applyFill="1" applyBorder="1"/>
    <xf numFmtId="0" fontId="0" fillId="0" borderId="0" xfId="0" applyBorder="1"/>
    <xf numFmtId="3" fontId="3" fillId="0" borderId="0" xfId="0" applyNumberFormat="1" applyFont="1" applyBorder="1"/>
    <xf numFmtId="3" fontId="0" fillId="0" borderId="0" xfId="0" applyNumberFormat="1" applyBorder="1"/>
    <xf numFmtId="0" fontId="4" fillId="0" borderId="0" xfId="0" applyFont="1" applyBorder="1"/>
    <xf numFmtId="0" fontId="2" fillId="6" borderId="20" xfId="0" applyFont="1" applyFill="1" applyBorder="1" applyAlignment="1">
      <alignment horizontal="center" vertical="center" wrapText="1"/>
    </xf>
    <xf numFmtId="1" fontId="4" fillId="0" borderId="50" xfId="0" applyNumberFormat="1" applyFont="1" applyBorder="1" applyAlignment="1">
      <alignment horizontal="right" vertical="center"/>
    </xf>
    <xf numFmtId="1" fontId="4" fillId="0" borderId="50" xfId="0" applyNumberFormat="1" applyFont="1" applyBorder="1" applyAlignment="1">
      <alignment horizontal="right"/>
    </xf>
    <xf numFmtId="1" fontId="4" fillId="0" borderId="51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3" fontId="4" fillId="9" borderId="52" xfId="0" applyNumberFormat="1" applyFont="1" applyFill="1" applyBorder="1" applyAlignment="1">
      <alignment horizontal="right"/>
    </xf>
    <xf numFmtId="3" fontId="4" fillId="10" borderId="52" xfId="0" applyNumberFormat="1" applyFont="1" applyFill="1" applyBorder="1" applyAlignment="1">
      <alignment horizontal="right"/>
    </xf>
    <xf numFmtId="3" fontId="4" fillId="4" borderId="52" xfId="0" applyNumberFormat="1" applyFont="1" applyFill="1" applyBorder="1" applyAlignment="1">
      <alignment horizontal="right"/>
    </xf>
    <xf numFmtId="1" fontId="4" fillId="4" borderId="51" xfId="0" applyNumberFormat="1" applyFont="1" applyFill="1" applyBorder="1" applyAlignment="1">
      <alignment horizontal="right"/>
    </xf>
    <xf numFmtId="1" fontId="4" fillId="0" borderId="55" xfId="0" applyNumberFormat="1" applyFont="1" applyBorder="1" applyAlignment="1">
      <alignment horizontal="right"/>
    </xf>
    <xf numFmtId="1" fontId="4" fillId="0" borderId="56" xfId="0" applyNumberFormat="1" applyFont="1" applyBorder="1" applyAlignment="1">
      <alignment horizontal="right"/>
    </xf>
    <xf numFmtId="1" fontId="4" fillId="10" borderId="56" xfId="0" applyNumberFormat="1" applyFont="1" applyFill="1" applyBorder="1" applyAlignment="1">
      <alignment horizontal="right"/>
    </xf>
    <xf numFmtId="1" fontId="4" fillId="11" borderId="56" xfId="0" applyNumberFormat="1" applyFont="1" applyFill="1" applyBorder="1" applyAlignment="1">
      <alignment horizontal="right"/>
    </xf>
    <xf numFmtId="0" fontId="1" fillId="0" borderId="57" xfId="0" applyFont="1" applyBorder="1" applyAlignment="1">
      <alignment horizontal="center" vertical="center"/>
    </xf>
    <xf numFmtId="3" fontId="4" fillId="0" borderId="58" xfId="0" applyNumberFormat="1" applyFont="1" applyBorder="1" applyAlignment="1">
      <alignment horizontal="right" vertical="center" wrapText="1"/>
    </xf>
    <xf numFmtId="0" fontId="1" fillId="0" borderId="59" xfId="0" applyFont="1" applyBorder="1" applyAlignment="1">
      <alignment horizontal="center" vertical="center" wrapText="1"/>
    </xf>
    <xf numFmtId="3" fontId="3" fillId="11" borderId="60" xfId="0" applyNumberFormat="1" applyFont="1" applyFill="1" applyBorder="1" applyAlignment="1">
      <alignment horizontal="right"/>
    </xf>
    <xf numFmtId="1" fontId="4" fillId="4" borderId="61" xfId="0" applyNumberFormat="1" applyFont="1" applyFill="1" applyBorder="1" applyAlignment="1">
      <alignment horizontal="right"/>
    </xf>
    <xf numFmtId="0" fontId="1" fillId="0" borderId="62" xfId="0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right" vertical="center" wrapText="1"/>
    </xf>
    <xf numFmtId="3" fontId="4" fillId="0" borderId="55" xfId="0" applyNumberFormat="1" applyFont="1" applyBorder="1" applyAlignment="1">
      <alignment horizontal="right"/>
    </xf>
    <xf numFmtId="3" fontId="4" fillId="0" borderId="56" xfId="0" applyNumberFormat="1" applyFont="1" applyBorder="1" applyAlignment="1">
      <alignment horizontal="right"/>
    </xf>
    <xf numFmtId="3" fontId="4" fillId="4" borderId="56" xfId="0" applyNumberFormat="1" applyFont="1" applyFill="1" applyBorder="1" applyAlignment="1">
      <alignment horizontal="right"/>
    </xf>
    <xf numFmtId="3" fontId="4" fillId="4" borderId="63" xfId="0" applyNumberFormat="1" applyFont="1" applyFill="1" applyBorder="1" applyAlignment="1">
      <alignment horizontal="right"/>
    </xf>
    <xf numFmtId="3" fontId="1" fillId="4" borderId="63" xfId="0" applyNumberFormat="1" applyFont="1" applyFill="1" applyBorder="1" applyAlignment="1">
      <alignment horizontal="right"/>
    </xf>
    <xf numFmtId="0" fontId="2" fillId="6" borderId="53" xfId="0" applyFont="1" applyFill="1" applyBorder="1" applyAlignment="1">
      <alignment horizontal="center" vertical="center" wrapText="1"/>
    </xf>
    <xf numFmtId="3" fontId="4" fillId="10" borderId="56" xfId="0" applyNumberFormat="1" applyFont="1" applyFill="1" applyBorder="1" applyAlignment="1">
      <alignment horizontal="right"/>
    </xf>
    <xf numFmtId="0" fontId="2" fillId="6" borderId="64" xfId="0" applyFont="1" applyFill="1" applyBorder="1" applyAlignment="1">
      <alignment horizontal="center" vertical="center" wrapText="1"/>
    </xf>
    <xf numFmtId="3" fontId="4" fillId="11" borderId="56" xfId="0" applyNumberFormat="1" applyFont="1" applyFill="1" applyBorder="1" applyAlignment="1">
      <alignment horizontal="right"/>
    </xf>
    <xf numFmtId="0" fontId="1" fillId="0" borderId="65" xfId="0" applyFont="1" applyBorder="1" applyAlignment="1">
      <alignment horizontal="center" vertical="center"/>
    </xf>
    <xf numFmtId="1" fontId="4" fillId="0" borderId="66" xfId="0" applyNumberFormat="1" applyFont="1" applyBorder="1" applyAlignment="1">
      <alignment horizontal="right" vertical="center"/>
    </xf>
    <xf numFmtId="1" fontId="4" fillId="0" borderId="66" xfId="0" applyNumberFormat="1" applyFont="1" applyBorder="1" applyAlignment="1">
      <alignment horizontal="right"/>
    </xf>
    <xf numFmtId="1" fontId="4" fillId="0" borderId="67" xfId="0" applyNumberFormat="1" applyFont="1" applyBorder="1" applyAlignment="1">
      <alignment horizontal="right"/>
    </xf>
    <xf numFmtId="1" fontId="4" fillId="10" borderId="67" xfId="0" applyNumberFormat="1" applyFont="1" applyFill="1" applyBorder="1" applyAlignment="1">
      <alignment horizontal="right"/>
    </xf>
    <xf numFmtId="1" fontId="4" fillId="11" borderId="67" xfId="0" applyNumberFormat="1" applyFont="1" applyFill="1" applyBorder="1" applyAlignment="1">
      <alignment horizontal="right"/>
    </xf>
    <xf numFmtId="1" fontId="1" fillId="4" borderId="68" xfId="0" applyNumberFormat="1" applyFont="1" applyFill="1" applyBorder="1" applyAlignment="1">
      <alignment horizontal="right"/>
    </xf>
    <xf numFmtId="1" fontId="4" fillId="4" borderId="68" xfId="0" applyNumberFormat="1" applyFont="1" applyFill="1" applyBorder="1" applyAlignment="1">
      <alignment horizontal="right"/>
    </xf>
    <xf numFmtId="0" fontId="1" fillId="0" borderId="62" xfId="0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right" vertical="center" wrapText="1"/>
    </xf>
    <xf numFmtId="1" fontId="1" fillId="4" borderId="63" xfId="0" applyNumberFormat="1" applyFont="1" applyFill="1" applyBorder="1" applyAlignment="1">
      <alignment horizontal="right"/>
    </xf>
    <xf numFmtId="0" fontId="1" fillId="0" borderId="65" xfId="0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right" vertical="center" wrapText="1"/>
    </xf>
    <xf numFmtId="3" fontId="4" fillId="0" borderId="66" xfId="0" applyNumberFormat="1" applyFont="1" applyBorder="1" applyAlignment="1">
      <alignment horizontal="right"/>
    </xf>
    <xf numFmtId="3" fontId="4" fillId="0" borderId="67" xfId="0" applyNumberFormat="1" applyFont="1" applyBorder="1" applyAlignment="1">
      <alignment horizontal="right"/>
    </xf>
    <xf numFmtId="3" fontId="4" fillId="10" borderId="67" xfId="0" applyNumberFormat="1" applyFont="1" applyFill="1" applyBorder="1" applyAlignment="1">
      <alignment horizontal="right"/>
    </xf>
    <xf numFmtId="3" fontId="4" fillId="11" borderId="67" xfId="0" applyNumberFormat="1" applyFont="1" applyFill="1" applyBorder="1" applyAlignment="1">
      <alignment horizontal="right"/>
    </xf>
    <xf numFmtId="3" fontId="1" fillId="4" borderId="68" xfId="0" applyNumberFormat="1" applyFont="1" applyFill="1" applyBorder="1" applyAlignment="1">
      <alignment horizontal="right"/>
    </xf>
    <xf numFmtId="3" fontId="4" fillId="4" borderId="68" xfId="0" applyNumberFormat="1" applyFont="1" applyFill="1" applyBorder="1" applyAlignment="1">
      <alignment horizontal="right"/>
    </xf>
    <xf numFmtId="0" fontId="2" fillId="6" borderId="6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1" fontId="4" fillId="0" borderId="71" xfId="0" applyNumberFormat="1" applyFont="1" applyBorder="1" applyAlignment="1">
      <alignment horizontal="right" vertical="center"/>
    </xf>
    <xf numFmtId="1" fontId="1" fillId="0" borderId="72" xfId="0" applyNumberFormat="1" applyFont="1" applyBorder="1" applyAlignment="1">
      <alignment horizontal="right"/>
    </xf>
    <xf numFmtId="3" fontId="4" fillId="0" borderId="71" xfId="0" applyNumberFormat="1" applyFont="1" applyBorder="1" applyAlignment="1">
      <alignment horizontal="right"/>
    </xf>
    <xf numFmtId="0" fontId="1" fillId="0" borderId="64" xfId="0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right" vertical="center"/>
    </xf>
    <xf numFmtId="1" fontId="4" fillId="4" borderId="56" xfId="0" applyNumberFormat="1" applyFont="1" applyFill="1" applyBorder="1" applyAlignment="1">
      <alignment horizontal="right"/>
    </xf>
    <xf numFmtId="1" fontId="1" fillId="4" borderId="72" xfId="0" applyNumberFormat="1" applyFont="1" applyFill="1" applyBorder="1" applyAlignment="1">
      <alignment horizontal="right"/>
    </xf>
    <xf numFmtId="0" fontId="1" fillId="0" borderId="64" xfId="0" applyFont="1" applyBorder="1" applyAlignment="1">
      <alignment horizontal="center" vertical="center" wrapText="1"/>
    </xf>
    <xf numFmtId="3" fontId="1" fillId="4" borderId="72" xfId="0" applyNumberFormat="1" applyFont="1" applyFill="1" applyBorder="1" applyAlignment="1">
      <alignment horizontal="right"/>
    </xf>
    <xf numFmtId="0" fontId="1" fillId="0" borderId="73" xfId="0" applyFont="1" applyBorder="1" applyAlignment="1">
      <alignment horizontal="center" vertical="center"/>
    </xf>
    <xf numFmtId="1" fontId="4" fillId="9" borderId="56" xfId="0" applyNumberFormat="1" applyFont="1" applyFill="1" applyBorder="1" applyAlignment="1">
      <alignment horizontal="right"/>
    </xf>
    <xf numFmtId="1" fontId="4" fillId="4" borderId="72" xfId="0" applyNumberFormat="1" applyFont="1" applyFill="1" applyBorder="1" applyAlignment="1">
      <alignment horizontal="right"/>
    </xf>
    <xf numFmtId="1" fontId="3" fillId="11" borderId="74" xfId="0" applyNumberFormat="1" applyFont="1" applyFill="1" applyBorder="1" applyAlignment="1">
      <alignment horizontal="right"/>
    </xf>
    <xf numFmtId="0" fontId="2" fillId="6" borderId="21" xfId="0" applyFont="1" applyFill="1" applyBorder="1" applyAlignment="1">
      <alignment horizontal="center" vertical="center" wrapText="1"/>
    </xf>
    <xf numFmtId="1" fontId="2" fillId="7" borderId="75" xfId="0" applyNumberFormat="1" applyFont="1" applyFill="1" applyBorder="1" applyAlignment="1">
      <alignment horizontal="right"/>
    </xf>
    <xf numFmtId="3" fontId="2" fillId="7" borderId="76" xfId="0" applyNumberFormat="1" applyFont="1" applyFill="1" applyBorder="1" applyAlignment="1">
      <alignment horizontal="right"/>
    </xf>
    <xf numFmtId="1" fontId="2" fillId="8" borderId="75" xfId="0" applyNumberFormat="1" applyFont="1" applyFill="1" applyBorder="1" applyAlignment="1">
      <alignment horizontal="right"/>
    </xf>
    <xf numFmtId="3" fontId="2" fillId="8" borderId="76" xfId="0" applyNumberFormat="1" applyFont="1" applyFill="1" applyBorder="1" applyAlignment="1">
      <alignment horizontal="right"/>
    </xf>
    <xf numFmtId="0" fontId="2" fillId="7" borderId="77" xfId="0" applyFont="1" applyFill="1" applyBorder="1"/>
    <xf numFmtId="1" fontId="2" fillId="8" borderId="78" xfId="0" applyNumberFormat="1" applyFont="1" applyFill="1" applyBorder="1" applyAlignment="1">
      <alignment horizontal="right"/>
    </xf>
    <xf numFmtId="3" fontId="2" fillId="8" borderId="75" xfId="0" applyNumberFormat="1" applyFont="1" applyFill="1" applyBorder="1" applyAlignment="1">
      <alignment horizontal="right"/>
    </xf>
    <xf numFmtId="1" fontId="2" fillId="8" borderId="76" xfId="0" applyNumberFormat="1" applyFont="1" applyFill="1" applyBorder="1" applyAlignment="1">
      <alignment horizontal="right"/>
    </xf>
    <xf numFmtId="3" fontId="2" fillId="8" borderId="78" xfId="0" applyNumberFormat="1" applyFont="1" applyFill="1" applyBorder="1" applyAlignment="1">
      <alignment horizontal="right"/>
    </xf>
    <xf numFmtId="3" fontId="2" fillId="8" borderId="79" xfId="0" applyNumberFormat="1" applyFont="1" applyFill="1" applyBorder="1" applyAlignment="1">
      <alignment horizontal="right"/>
    </xf>
    <xf numFmtId="49" fontId="4" fillId="0" borderId="80" xfId="0" applyNumberFormat="1" applyFont="1" applyBorder="1" applyAlignment="1">
      <alignment horizontal="center"/>
    </xf>
    <xf numFmtId="1" fontId="1" fillId="4" borderId="81" xfId="0" applyNumberFormat="1" applyFont="1" applyFill="1" applyBorder="1" applyAlignment="1">
      <alignment horizontal="right"/>
    </xf>
    <xf numFmtId="3" fontId="1" fillId="4" borderId="82" xfId="0" applyNumberFormat="1" applyFont="1" applyFill="1" applyBorder="1" applyAlignment="1">
      <alignment horizontal="right"/>
    </xf>
    <xf numFmtId="1" fontId="4" fillId="4" borderId="83" xfId="0" applyNumberFormat="1" applyFont="1" applyFill="1" applyBorder="1" applyAlignment="1">
      <alignment horizontal="right"/>
    </xf>
    <xf numFmtId="3" fontId="4" fillId="4" borderId="82" xfId="0" applyNumberFormat="1" applyFont="1" applyFill="1" applyBorder="1" applyAlignment="1">
      <alignment horizontal="right"/>
    </xf>
    <xf numFmtId="1" fontId="4" fillId="4" borderId="82" xfId="0" applyNumberFormat="1" applyFont="1" applyFill="1" applyBorder="1" applyAlignment="1">
      <alignment horizontal="right"/>
    </xf>
    <xf numFmtId="3" fontId="4" fillId="4" borderId="83" xfId="0" applyNumberFormat="1" applyFont="1" applyFill="1" applyBorder="1" applyAlignment="1">
      <alignment horizontal="right"/>
    </xf>
    <xf numFmtId="1" fontId="3" fillId="10" borderId="75" xfId="0" applyNumberFormat="1" applyFont="1" applyFill="1" applyBorder="1" applyAlignment="1">
      <alignment horizontal="right"/>
    </xf>
    <xf numFmtId="3" fontId="3" fillId="10" borderId="76" xfId="0" applyNumberFormat="1" applyFont="1" applyFill="1" applyBorder="1" applyAlignment="1">
      <alignment horizontal="right"/>
    </xf>
    <xf numFmtId="1" fontId="3" fillId="11" borderId="79" xfId="0" applyNumberFormat="1" applyFont="1" applyFill="1" applyBorder="1" applyAlignment="1">
      <alignment horizontal="right"/>
    </xf>
    <xf numFmtId="3" fontId="3" fillId="11" borderId="79" xfId="0" applyNumberFormat="1" applyFont="1" applyFill="1" applyBorder="1" applyAlignment="1">
      <alignment horizontal="right"/>
    </xf>
    <xf numFmtId="0" fontId="2" fillId="6" borderId="54" xfId="0" applyFont="1" applyFill="1" applyBorder="1" applyAlignment="1">
      <alignment horizontal="center" vertical="center" wrapText="1"/>
    </xf>
    <xf numFmtId="3" fontId="3" fillId="0" borderId="71" xfId="0" applyNumberFormat="1" applyFont="1" applyBorder="1"/>
    <xf numFmtId="3" fontId="3" fillId="0" borderId="84" xfId="0" applyNumberFormat="1" applyFont="1" applyBorder="1"/>
    <xf numFmtId="0" fontId="4" fillId="0" borderId="74" xfId="0" applyFont="1" applyBorder="1"/>
    <xf numFmtId="0" fontId="1" fillId="6" borderId="85" xfId="0" applyFont="1" applyFill="1" applyBorder="1" applyAlignment="1">
      <alignment horizontal="center" wrapText="1"/>
    </xf>
    <xf numFmtId="0" fontId="1" fillId="6" borderId="86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0" borderId="87" xfId="0" applyFont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2" fillId="7" borderId="91" xfId="0" applyFont="1" applyFill="1" applyBorder="1"/>
    <xf numFmtId="0" fontId="6" fillId="5" borderId="0" xfId="0" applyFont="1" applyFill="1" applyAlignment="1">
      <alignment horizontal="center"/>
    </xf>
    <xf numFmtId="0" fontId="4" fillId="0" borderId="49" xfId="0" applyFont="1" applyBorder="1"/>
    <xf numFmtId="3" fontId="4" fillId="0" borderId="0" xfId="0" applyNumberFormat="1" applyFont="1" applyBorder="1" applyAlignment="1"/>
    <xf numFmtId="0" fontId="4" fillId="0" borderId="0" xfId="0" applyFont="1" applyBorder="1" applyAlignment="1"/>
    <xf numFmtId="0" fontId="7" fillId="5" borderId="0" xfId="0" applyFont="1" applyFill="1" applyAlignment="1">
      <alignment horizontal="center"/>
    </xf>
    <xf numFmtId="0" fontId="1" fillId="0" borderId="93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2" borderId="95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96" xfId="0" applyFont="1" applyFill="1" applyBorder="1" applyAlignment="1">
      <alignment horizontal="center" vertical="center" wrapText="1"/>
    </xf>
    <xf numFmtId="0" fontId="1" fillId="2" borderId="9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98" xfId="1" applyNumberFormat="1" applyFont="1" applyBorder="1"/>
    <xf numFmtId="3" fontId="5" fillId="0" borderId="18" xfId="0" applyNumberFormat="1" applyFont="1" applyBorder="1"/>
    <xf numFmtId="0" fontId="1" fillId="0" borderId="22" xfId="0" applyFont="1" applyBorder="1" applyAlignment="1">
      <alignment horizontal="center" vertical="center"/>
    </xf>
    <xf numFmtId="1" fontId="1" fillId="0" borderId="99" xfId="0" applyNumberFormat="1" applyFont="1" applyBorder="1" applyAlignment="1">
      <alignment horizontal="right" vertical="center"/>
    </xf>
    <xf numFmtId="1" fontId="1" fillId="0" borderId="100" xfId="1" applyNumberFormat="1" applyFont="1" applyBorder="1"/>
    <xf numFmtId="1" fontId="1" fillId="4" borderId="99" xfId="0" applyNumberFormat="1" applyFont="1" applyFill="1" applyBorder="1"/>
    <xf numFmtId="1" fontId="1" fillId="4" borderId="100" xfId="0" applyNumberFormat="1" applyFont="1" applyFill="1" applyBorder="1"/>
    <xf numFmtId="1" fontId="1" fillId="4" borderId="103" xfId="0" applyNumberFormat="1" applyFont="1" applyFill="1" applyBorder="1"/>
    <xf numFmtId="1" fontId="1" fillId="11" borderId="99" xfId="0" applyNumberFormat="1" applyFont="1" applyFill="1" applyBorder="1"/>
    <xf numFmtId="0" fontId="1" fillId="0" borderId="104" xfId="0" applyFont="1" applyBorder="1"/>
    <xf numFmtId="1" fontId="5" fillId="0" borderId="103" xfId="0" applyNumberFormat="1" applyFont="1" applyBorder="1"/>
    <xf numFmtId="3" fontId="1" fillId="4" borderId="101" xfId="0" applyNumberFormat="1" applyFont="1" applyFill="1" applyBorder="1"/>
    <xf numFmtId="3" fontId="1" fillId="4" borderId="98" xfId="0" applyNumberFormat="1" applyFont="1" applyFill="1" applyBorder="1"/>
    <xf numFmtId="3" fontId="1" fillId="0" borderId="98" xfId="0" applyNumberFormat="1" applyFont="1" applyBorder="1"/>
    <xf numFmtId="3" fontId="5" fillId="0" borderId="102" xfId="0" applyNumberFormat="1" applyFont="1" applyBorder="1"/>
    <xf numFmtId="0" fontId="1" fillId="0" borderId="105" xfId="0" applyFont="1" applyBorder="1" applyAlignment="1">
      <alignment horizontal="center" vertical="center"/>
    </xf>
    <xf numFmtId="0" fontId="1" fillId="0" borderId="106" xfId="0" applyFont="1" applyBorder="1" applyAlignment="1">
      <alignment horizontal="right" vertical="center"/>
    </xf>
    <xf numFmtId="3" fontId="1" fillId="0" borderId="107" xfId="1" applyNumberFormat="1" applyFont="1" applyBorder="1"/>
    <xf numFmtId="1" fontId="1" fillId="4" borderId="108" xfId="0" applyNumberFormat="1" applyFont="1" applyFill="1" applyBorder="1"/>
    <xf numFmtId="1" fontId="1" fillId="4" borderId="107" xfId="0" applyNumberFormat="1" applyFont="1" applyFill="1" applyBorder="1"/>
    <xf numFmtId="1" fontId="1" fillId="4" borderId="109" xfId="0" applyNumberFormat="1" applyFont="1" applyFill="1" applyBorder="1"/>
    <xf numFmtId="1" fontId="1" fillId="0" borderId="107" xfId="0" applyNumberFormat="1" applyFont="1" applyBorder="1"/>
    <xf numFmtId="1" fontId="5" fillId="0" borderId="109" xfId="0" applyNumberFormat="1" applyFont="1" applyBorder="1"/>
    <xf numFmtId="0" fontId="1" fillId="2" borderId="46" xfId="0" applyFont="1" applyFill="1" applyBorder="1" applyAlignment="1">
      <alignment horizontal="center" wrapText="1"/>
    </xf>
    <xf numFmtId="3" fontId="3" fillId="7" borderId="79" xfId="0" applyNumberFormat="1" applyFont="1" applyFill="1" applyBorder="1"/>
    <xf numFmtId="0" fontId="2" fillId="7" borderId="20" xfId="0" applyFont="1" applyFill="1" applyBorder="1"/>
    <xf numFmtId="1" fontId="2" fillId="7" borderId="41" xfId="0" applyNumberFormat="1" applyFont="1" applyFill="1" applyBorder="1"/>
    <xf numFmtId="3" fontId="2" fillId="7" borderId="42" xfId="0" applyNumberFormat="1" applyFont="1" applyFill="1" applyBorder="1"/>
    <xf numFmtId="3" fontId="2" fillId="7" borderId="43" xfId="0" applyNumberFormat="1" applyFont="1" applyFill="1" applyBorder="1"/>
    <xf numFmtId="3" fontId="2" fillId="7" borderId="20" xfId="0" applyNumberFormat="1" applyFont="1" applyFill="1" applyBorder="1"/>
    <xf numFmtId="1" fontId="2" fillId="8" borderId="41" xfId="0" applyNumberFormat="1" applyFont="1" applyFill="1" applyBorder="1"/>
    <xf numFmtId="3" fontId="2" fillId="8" borderId="21" xfId="0" applyNumberFormat="1" applyFont="1" applyFill="1" applyBorder="1"/>
    <xf numFmtId="3" fontId="2" fillId="8" borderId="44" xfId="0" applyNumberFormat="1" applyFont="1" applyFill="1" applyBorder="1" applyAlignment="1"/>
    <xf numFmtId="3" fontId="2" fillId="8" borderId="94" xfId="0" applyNumberFormat="1" applyFont="1" applyFill="1" applyBorder="1" applyAlignment="1"/>
    <xf numFmtId="3" fontId="2" fillId="7" borderId="6" xfId="0" applyNumberFormat="1" applyFont="1" applyFill="1" applyBorder="1" applyAlignment="1">
      <alignment horizontal="right" vertical="center" wrapText="1"/>
    </xf>
    <xf numFmtId="3" fontId="2" fillId="7" borderId="7" xfId="0" applyNumberFormat="1" applyFont="1" applyFill="1" applyBorder="1" applyAlignment="1">
      <alignment horizontal="right" vertic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2" fillId="7" borderId="19" xfId="0" applyFont="1" applyFill="1" applyBorder="1"/>
    <xf numFmtId="1" fontId="2" fillId="7" borderId="22" xfId="0" applyNumberFormat="1" applyFont="1" applyFill="1" applyBorder="1"/>
    <xf numFmtId="3" fontId="2" fillId="7" borderId="7" xfId="0" applyNumberFormat="1" applyFont="1" applyFill="1" applyBorder="1"/>
    <xf numFmtId="1" fontId="2" fillId="7" borderId="92" xfId="0" applyNumberFormat="1" applyFont="1" applyFill="1" applyBorder="1"/>
  </cellXfs>
  <cellStyles count="2">
    <cellStyle name="Normal" xfId="0" builtinId="0"/>
    <cellStyle name="Normal_Sheet1" xfId="1" xr:uid="{E38624CD-A263-432A-A173-5DB28F822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22EB-8E9F-4B4C-88EA-3A2F3CE5BF9C}">
  <dimension ref="A2:V37"/>
  <sheetViews>
    <sheetView tabSelected="1" workbookViewId="0">
      <selection activeCell="K35" sqref="K35"/>
    </sheetView>
  </sheetViews>
  <sheetFormatPr defaultRowHeight="12.75" x14ac:dyDescent="0.2"/>
  <cols>
    <col min="1" max="1" width="9.28515625" style="51" bestFit="1" customWidth="1"/>
    <col min="2" max="2" width="9.140625" style="51"/>
    <col min="3" max="3" width="12.85546875" style="51" bestFit="1" customWidth="1"/>
    <col min="4" max="4" width="14.28515625" style="51" customWidth="1"/>
    <col min="5" max="5" width="12.85546875" style="51" bestFit="1" customWidth="1"/>
    <col min="6" max="6" width="12.7109375" style="51" customWidth="1"/>
    <col min="7" max="7" width="12.85546875" style="51" bestFit="1" customWidth="1"/>
    <col min="8" max="8" width="11.28515625" style="51" customWidth="1"/>
    <col min="9" max="9" width="12.85546875" style="51" bestFit="1" customWidth="1"/>
    <col min="10" max="10" width="9.28515625" style="51" bestFit="1" customWidth="1"/>
    <col min="11" max="11" width="12.85546875" style="51" bestFit="1" customWidth="1"/>
    <col min="12" max="12" width="13" style="51" customWidth="1"/>
    <col min="13" max="13" width="12.85546875" style="51" bestFit="1" customWidth="1"/>
    <col min="14" max="14" width="11" style="51" customWidth="1"/>
    <col min="15" max="15" width="12.85546875" style="51" bestFit="1" customWidth="1"/>
    <col min="16" max="16" width="12.85546875" style="51" customWidth="1"/>
    <col min="17" max="17" width="12.85546875" style="51" bestFit="1" customWidth="1"/>
    <col min="18" max="18" width="12.7109375" style="51" bestFit="1" customWidth="1"/>
    <col min="19" max="19" width="12.85546875" style="51" bestFit="1" customWidth="1"/>
    <col min="20" max="20" width="12.7109375" style="51" customWidth="1"/>
    <col min="21" max="21" width="12.85546875" style="51" bestFit="1" customWidth="1"/>
    <col min="22" max="22" width="11.140625" style="51" customWidth="1"/>
    <col min="23" max="23" width="12.85546875" style="51" bestFit="1" customWidth="1"/>
    <col min="24" max="24" width="9.28515625" style="51" bestFit="1" customWidth="1"/>
    <col min="25" max="16384" width="9.140625" style="51"/>
  </cols>
  <sheetData>
    <row r="2" spans="1:22" ht="18" x14ac:dyDescent="0.25">
      <c r="F2" s="182" t="s">
        <v>27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4" spans="1:22" ht="13.5" thickBot="1" x14ac:dyDescent="0.25"/>
    <row r="5" spans="1:22" ht="42.75" customHeight="1" thickBot="1" x14ac:dyDescent="0.25">
      <c r="A5" s="36" t="s">
        <v>0</v>
      </c>
      <c r="B5" s="63" t="s">
        <v>1</v>
      </c>
      <c r="C5" s="62" t="s">
        <v>5</v>
      </c>
      <c r="D5" s="62"/>
      <c r="E5" s="62" t="s">
        <v>6</v>
      </c>
      <c r="F5" s="62"/>
      <c r="G5" s="62" t="s">
        <v>7</v>
      </c>
      <c r="H5" s="62"/>
      <c r="I5" s="64" t="s">
        <v>8</v>
      </c>
      <c r="J5" s="64"/>
      <c r="K5" s="62" t="s">
        <v>9</v>
      </c>
      <c r="L5" s="62"/>
      <c r="M5" s="62" t="s">
        <v>10</v>
      </c>
      <c r="N5" s="62"/>
      <c r="O5" s="65" t="s">
        <v>11</v>
      </c>
      <c r="P5" s="65"/>
      <c r="Q5" s="62" t="s">
        <v>12</v>
      </c>
      <c r="R5" s="65"/>
      <c r="S5" s="188" t="s">
        <v>25</v>
      </c>
      <c r="T5" s="189"/>
      <c r="U5" s="66" t="s">
        <v>13</v>
      </c>
      <c r="V5" s="67"/>
    </row>
    <row r="6" spans="1:22" ht="13.5" thickBot="1" x14ac:dyDescent="0.25">
      <c r="A6" s="219"/>
      <c r="B6" s="63"/>
      <c r="C6" s="37" t="s">
        <v>24</v>
      </c>
      <c r="D6" s="38" t="s">
        <v>4</v>
      </c>
      <c r="E6" s="37" t="s">
        <v>24</v>
      </c>
      <c r="F6" s="38" t="s">
        <v>4</v>
      </c>
      <c r="G6" s="37" t="s">
        <v>24</v>
      </c>
      <c r="H6" s="39" t="s">
        <v>4</v>
      </c>
      <c r="I6" s="37" t="s">
        <v>24</v>
      </c>
      <c r="J6" s="39" t="s">
        <v>4</v>
      </c>
      <c r="K6" s="37" t="s">
        <v>24</v>
      </c>
      <c r="L6" s="38" t="s">
        <v>4</v>
      </c>
      <c r="M6" s="37" t="s">
        <v>24</v>
      </c>
      <c r="N6" s="38" t="s">
        <v>4</v>
      </c>
      <c r="O6" s="37" t="s">
        <v>24</v>
      </c>
      <c r="P6" s="38" t="s">
        <v>4</v>
      </c>
      <c r="Q6" s="37" t="s">
        <v>24</v>
      </c>
      <c r="R6" s="38" t="s">
        <v>4</v>
      </c>
      <c r="S6" s="190" t="s">
        <v>24</v>
      </c>
      <c r="T6" s="187" t="s">
        <v>4</v>
      </c>
      <c r="U6" s="232" t="s">
        <v>4</v>
      </c>
      <c r="V6" s="233"/>
    </row>
    <row r="7" spans="1:22" ht="13.5" thickBot="1" x14ac:dyDescent="0.25">
      <c r="A7" s="40">
        <v>1</v>
      </c>
      <c r="B7" s="41" t="s">
        <v>19</v>
      </c>
      <c r="C7" s="1">
        <v>55731</v>
      </c>
      <c r="D7" s="4">
        <v>323407646</v>
      </c>
      <c r="E7" s="9">
        <v>33340</v>
      </c>
      <c r="F7" s="10">
        <v>304302117</v>
      </c>
      <c r="G7" s="11">
        <v>374</v>
      </c>
      <c r="H7" s="13">
        <v>2108630</v>
      </c>
      <c r="I7" s="15">
        <v>9</v>
      </c>
      <c r="J7" s="19">
        <v>52994</v>
      </c>
      <c r="K7" s="11">
        <v>342</v>
      </c>
      <c r="L7" s="13">
        <v>10280510</v>
      </c>
      <c r="M7" s="15">
        <v>216</v>
      </c>
      <c r="N7" s="19">
        <v>2243972</v>
      </c>
      <c r="O7" s="11">
        <v>116</v>
      </c>
      <c r="P7" s="13">
        <v>4295610</v>
      </c>
      <c r="Q7" s="1">
        <v>10746</v>
      </c>
      <c r="R7" s="22">
        <v>88920764</v>
      </c>
      <c r="S7" s="25">
        <v>12962</v>
      </c>
      <c r="T7" s="25">
        <v>121790170</v>
      </c>
      <c r="U7" s="230">
        <f>D7+F7+H7+J7+L7+N7+P7+R7+T7</f>
        <v>857402413</v>
      </c>
      <c r="V7" s="231">
        <f>E7+G7+I7+K7+M7+O7+Q7+S7+U7</f>
        <v>857460518</v>
      </c>
    </row>
    <row r="8" spans="1:22" ht="13.5" thickBot="1" x14ac:dyDescent="0.25">
      <c r="A8" s="42">
        <v>2</v>
      </c>
      <c r="B8" s="43" t="s">
        <v>29</v>
      </c>
      <c r="C8" s="2">
        <v>56437</v>
      </c>
      <c r="D8" s="5">
        <v>351918771</v>
      </c>
      <c r="E8" s="1">
        <v>33304</v>
      </c>
      <c r="F8" s="7">
        <v>312723416</v>
      </c>
      <c r="G8" s="11">
        <v>426</v>
      </c>
      <c r="H8" s="13">
        <v>2746460</v>
      </c>
      <c r="I8" s="15">
        <v>11</v>
      </c>
      <c r="J8" s="19">
        <v>176055</v>
      </c>
      <c r="K8" s="11">
        <v>346</v>
      </c>
      <c r="L8" s="13">
        <v>10445249</v>
      </c>
      <c r="M8" s="15">
        <v>222</v>
      </c>
      <c r="N8" s="19">
        <v>2398192</v>
      </c>
      <c r="O8" s="1">
        <v>120</v>
      </c>
      <c r="P8" s="7">
        <v>4510677</v>
      </c>
      <c r="Q8" s="1">
        <v>10754</v>
      </c>
      <c r="R8" s="22">
        <v>89385395</v>
      </c>
      <c r="S8" s="24">
        <v>13096</v>
      </c>
      <c r="T8" s="24">
        <v>126519407</v>
      </c>
      <c r="U8" s="230">
        <f t="shared" ref="U8:V10" si="0">D8+F8+H8+J8+L8+N8+P8+R8+T8</f>
        <v>900823622</v>
      </c>
      <c r="V8" s="231">
        <f t="shared" si="0"/>
        <v>900881901</v>
      </c>
    </row>
    <row r="9" spans="1:22" ht="13.5" thickBot="1" x14ac:dyDescent="0.25">
      <c r="A9" s="40">
        <v>3</v>
      </c>
      <c r="B9" s="43" t="s">
        <v>30</v>
      </c>
      <c r="C9" s="27">
        <v>56357</v>
      </c>
      <c r="D9" s="32">
        <v>360605752</v>
      </c>
      <c r="E9" s="1">
        <v>33399</v>
      </c>
      <c r="F9" s="29">
        <v>323091865</v>
      </c>
      <c r="G9" s="31">
        <v>404</v>
      </c>
      <c r="H9" s="29">
        <v>2192910</v>
      </c>
      <c r="I9" s="15">
        <v>10</v>
      </c>
      <c r="J9" s="19">
        <v>60731</v>
      </c>
      <c r="K9" s="11">
        <v>351</v>
      </c>
      <c r="L9" s="13">
        <v>10764331</v>
      </c>
      <c r="M9" s="15">
        <v>224</v>
      </c>
      <c r="N9" s="19">
        <v>2575128</v>
      </c>
      <c r="O9" s="1">
        <v>120</v>
      </c>
      <c r="P9" s="7">
        <v>4642628</v>
      </c>
      <c r="Q9" s="1">
        <v>10753</v>
      </c>
      <c r="R9" s="22">
        <v>95174107</v>
      </c>
      <c r="S9" s="24">
        <v>13177</v>
      </c>
      <c r="T9" s="24">
        <v>130989601</v>
      </c>
      <c r="U9" s="230">
        <f t="shared" si="0"/>
        <v>930097053</v>
      </c>
      <c r="V9" s="231">
        <f t="shared" si="0"/>
        <v>930155491</v>
      </c>
    </row>
    <row r="10" spans="1:22" ht="13.5" thickBot="1" x14ac:dyDescent="0.25">
      <c r="A10" s="42">
        <v>4</v>
      </c>
      <c r="B10" s="43" t="s">
        <v>31</v>
      </c>
      <c r="C10" s="2">
        <v>56179</v>
      </c>
      <c r="D10" s="6">
        <v>353304929</v>
      </c>
      <c r="E10" s="1">
        <v>33270</v>
      </c>
      <c r="F10" s="7">
        <v>316027201</v>
      </c>
      <c r="G10" s="11">
        <v>443</v>
      </c>
      <c r="H10" s="13">
        <v>2852281</v>
      </c>
      <c r="I10" s="15">
        <v>10</v>
      </c>
      <c r="J10" s="19">
        <v>60731</v>
      </c>
      <c r="K10" s="11">
        <v>352</v>
      </c>
      <c r="L10" s="13">
        <v>11175725</v>
      </c>
      <c r="M10" s="15">
        <v>222</v>
      </c>
      <c r="N10" s="19">
        <v>2420324</v>
      </c>
      <c r="O10" s="11">
        <v>116</v>
      </c>
      <c r="P10" s="13">
        <v>4472882</v>
      </c>
      <c r="Q10" s="1">
        <v>10795</v>
      </c>
      <c r="R10" s="22">
        <v>92593523</v>
      </c>
      <c r="S10" s="24">
        <v>13230</v>
      </c>
      <c r="T10" s="24">
        <v>128825227</v>
      </c>
      <c r="U10" s="230">
        <f t="shared" si="0"/>
        <v>911732823</v>
      </c>
      <c r="V10" s="231">
        <f t="shared" si="0"/>
        <v>911791261</v>
      </c>
    </row>
    <row r="11" spans="1:22" ht="13.5" thickBot="1" x14ac:dyDescent="0.25">
      <c r="A11" s="40">
        <v>5</v>
      </c>
      <c r="B11" s="44" t="s">
        <v>32</v>
      </c>
      <c r="C11" s="1">
        <v>55958</v>
      </c>
      <c r="D11" s="7">
        <v>351619924</v>
      </c>
      <c r="E11" s="1">
        <v>33264</v>
      </c>
      <c r="F11" s="7">
        <v>270609173</v>
      </c>
      <c r="G11" s="11">
        <v>384</v>
      </c>
      <c r="H11" s="13">
        <v>2585480</v>
      </c>
      <c r="I11" s="15">
        <v>10</v>
      </c>
      <c r="J11" s="19">
        <v>60731</v>
      </c>
      <c r="K11" s="11">
        <v>351</v>
      </c>
      <c r="L11" s="13">
        <v>10730109</v>
      </c>
      <c r="M11" s="15">
        <v>224</v>
      </c>
      <c r="N11" s="19">
        <v>2444939</v>
      </c>
      <c r="O11" s="11">
        <v>116</v>
      </c>
      <c r="P11" s="13">
        <v>4582756</v>
      </c>
      <c r="Q11" s="1">
        <v>10817</v>
      </c>
      <c r="R11" s="22">
        <v>93168348</v>
      </c>
      <c r="S11" s="24">
        <v>13317</v>
      </c>
      <c r="T11" s="24">
        <v>112087722</v>
      </c>
      <c r="U11" s="230">
        <v>847889182</v>
      </c>
      <c r="V11" s="231"/>
    </row>
    <row r="12" spans="1:22" ht="13.5" thickBot="1" x14ac:dyDescent="0.25">
      <c r="A12" s="42">
        <v>6</v>
      </c>
      <c r="B12" s="44" t="s">
        <v>33</v>
      </c>
      <c r="C12" s="3">
        <v>56952</v>
      </c>
      <c r="D12" s="8">
        <v>374609655</v>
      </c>
      <c r="E12" s="3">
        <v>33299</v>
      </c>
      <c r="F12" s="8">
        <v>273638589</v>
      </c>
      <c r="G12" s="12">
        <v>482</v>
      </c>
      <c r="H12" s="14">
        <v>2671260</v>
      </c>
      <c r="I12" s="16">
        <v>10</v>
      </c>
      <c r="J12" s="20">
        <v>60731</v>
      </c>
      <c r="K12" s="12">
        <v>353</v>
      </c>
      <c r="L12" s="14">
        <v>11641395</v>
      </c>
      <c r="M12" s="16">
        <v>228</v>
      </c>
      <c r="N12" s="20">
        <v>2531182</v>
      </c>
      <c r="O12" s="12">
        <v>116</v>
      </c>
      <c r="P12" s="14">
        <v>4523103</v>
      </c>
      <c r="Q12" s="1">
        <v>10857</v>
      </c>
      <c r="R12" s="22">
        <v>93549337</v>
      </c>
      <c r="S12" s="24">
        <v>13447</v>
      </c>
      <c r="T12" s="24">
        <v>114412150</v>
      </c>
      <c r="U12" s="230">
        <v>877637402</v>
      </c>
      <c r="V12" s="231"/>
    </row>
    <row r="13" spans="1:22" ht="13.5" thickBot="1" x14ac:dyDescent="0.25">
      <c r="A13" s="45">
        <v>7</v>
      </c>
      <c r="B13" s="46" t="s">
        <v>34</v>
      </c>
      <c r="C13" s="28">
        <f>13979+43328</f>
        <v>57307</v>
      </c>
      <c r="D13" s="30">
        <f>81408390+284748629</f>
        <v>366157019</v>
      </c>
      <c r="E13" s="28">
        <f>5782+27470</f>
        <v>33252</v>
      </c>
      <c r="F13" s="30">
        <f>42941919+226106220</f>
        <v>269048139</v>
      </c>
      <c r="G13" s="28">
        <v>352</v>
      </c>
      <c r="H13" s="30">
        <v>2703032</v>
      </c>
      <c r="I13" s="33">
        <v>9</v>
      </c>
      <c r="J13" s="34">
        <v>53094</v>
      </c>
      <c r="K13" s="28">
        <f>250+105</f>
        <v>355</v>
      </c>
      <c r="L13" s="30">
        <f>8286657+2840885</f>
        <v>11127542</v>
      </c>
      <c r="M13" s="33">
        <f>86+143</f>
        <v>229</v>
      </c>
      <c r="N13" s="34">
        <f>936172+1515124</f>
        <v>2451296</v>
      </c>
      <c r="O13" s="28">
        <f>27+89</f>
        <v>116</v>
      </c>
      <c r="P13" s="30">
        <f>1021210+3461887</f>
        <v>4483097</v>
      </c>
      <c r="Q13" s="28">
        <f>2450+8390</f>
        <v>10840</v>
      </c>
      <c r="R13" s="35">
        <f>20910018+72052906</f>
        <v>92962924</v>
      </c>
      <c r="S13" s="57">
        <f>1844+11707</f>
        <v>13551</v>
      </c>
      <c r="T13" s="57">
        <f>15060140+98770170</f>
        <v>113830310</v>
      </c>
      <c r="U13" s="230">
        <f t="shared" ref="U13:V18" si="1">D13+F13+H13+J13+L13+N13+P13+R13+T13</f>
        <v>862816453</v>
      </c>
      <c r="V13" s="231">
        <f t="shared" si="1"/>
        <v>862875157</v>
      </c>
    </row>
    <row r="14" spans="1:22" ht="13.5" thickBot="1" x14ac:dyDescent="0.25">
      <c r="A14" s="42">
        <v>8</v>
      </c>
      <c r="B14" s="44" t="s">
        <v>35</v>
      </c>
      <c r="C14" s="58">
        <f>14503+43639</f>
        <v>58142</v>
      </c>
      <c r="D14" s="59">
        <f>87416650+286779592</f>
        <v>374196242</v>
      </c>
      <c r="E14" s="58">
        <f>5848+27266</f>
        <v>33114</v>
      </c>
      <c r="F14" s="59">
        <f>44241524+229150796</f>
        <v>273392320</v>
      </c>
      <c r="G14" s="58">
        <f>65+228</f>
        <v>293</v>
      </c>
      <c r="H14" s="59">
        <f>231000+1547810</f>
        <v>1778810</v>
      </c>
      <c r="I14" s="60">
        <f>1+8</f>
        <v>9</v>
      </c>
      <c r="J14" s="61">
        <f>12382+47094</f>
        <v>59476</v>
      </c>
      <c r="K14" s="58">
        <v>306</v>
      </c>
      <c r="L14" s="59">
        <v>9775932</v>
      </c>
      <c r="M14" s="33">
        <f>86+144</f>
        <v>230</v>
      </c>
      <c r="N14" s="61">
        <f>930903+1584315</f>
        <v>2515218</v>
      </c>
      <c r="O14" s="58">
        <f>27+88</f>
        <v>115</v>
      </c>
      <c r="P14" s="59">
        <f>1021210+3457397</f>
        <v>4478607</v>
      </c>
      <c r="Q14" s="28">
        <f>2456+8400</f>
        <v>10856</v>
      </c>
      <c r="R14" s="35">
        <f>21144281+72734183</f>
        <v>93878464</v>
      </c>
      <c r="S14" s="57">
        <f>1855+11795</f>
        <v>13650</v>
      </c>
      <c r="T14" s="57">
        <f>15313884+100750088</f>
        <v>116063972</v>
      </c>
      <c r="U14" s="230">
        <f t="shared" si="1"/>
        <v>876139041</v>
      </c>
      <c r="V14" s="231">
        <f t="shared" si="1"/>
        <v>876197614</v>
      </c>
    </row>
    <row r="15" spans="1:22" ht="13.5" thickBot="1" x14ac:dyDescent="0.25">
      <c r="A15" s="40">
        <v>9</v>
      </c>
      <c r="B15" s="44" t="s">
        <v>36</v>
      </c>
      <c r="C15" s="28">
        <f>14501+43646</f>
        <v>58147</v>
      </c>
      <c r="D15" s="30">
        <f>86491008+277893034</f>
        <v>364384042</v>
      </c>
      <c r="E15" s="28">
        <f>5835+27197</f>
        <v>33032</v>
      </c>
      <c r="F15" s="30">
        <f>43707294+230818730</f>
        <v>274526024</v>
      </c>
      <c r="G15" s="28">
        <f>2+32</f>
        <v>34</v>
      </c>
      <c r="H15" s="30">
        <f>9000+113410</f>
        <v>122410</v>
      </c>
      <c r="I15" s="33">
        <f>1+7</f>
        <v>8</v>
      </c>
      <c r="J15" s="34">
        <f>6191+38745</f>
        <v>44936</v>
      </c>
      <c r="K15" s="28">
        <v>352</v>
      </c>
      <c r="L15" s="30">
        <v>12344552</v>
      </c>
      <c r="M15" s="33">
        <f>85+145</f>
        <v>230</v>
      </c>
      <c r="N15" s="34">
        <f>925282+1598756</f>
        <v>2524038</v>
      </c>
      <c r="O15" s="28">
        <f>27+88</f>
        <v>115</v>
      </c>
      <c r="P15" s="30">
        <f>1021210+3428609</f>
        <v>4449819</v>
      </c>
      <c r="Q15" s="28">
        <f>2468+8385</f>
        <v>10853</v>
      </c>
      <c r="R15" s="35">
        <f>21389579+72060646</f>
        <v>93450225</v>
      </c>
      <c r="S15" s="57">
        <f>1857+11923</f>
        <v>13780</v>
      </c>
      <c r="T15" s="57">
        <f>15286103+103124071</f>
        <v>118410174</v>
      </c>
      <c r="U15" s="230">
        <f t="shared" si="1"/>
        <v>870256220</v>
      </c>
      <c r="V15" s="231">
        <f t="shared" si="1"/>
        <v>870314624</v>
      </c>
    </row>
    <row r="16" spans="1:22" ht="13.5" thickBot="1" x14ac:dyDescent="0.25">
      <c r="A16" s="40">
        <v>10</v>
      </c>
      <c r="B16" s="44" t="s">
        <v>37</v>
      </c>
      <c r="C16" s="28">
        <f>44070+14432</f>
        <v>58502</v>
      </c>
      <c r="D16" s="30">
        <f>285000833+89069324</f>
        <v>374070157</v>
      </c>
      <c r="E16" s="28">
        <f>27126+5761</f>
        <v>32887</v>
      </c>
      <c r="F16" s="30">
        <f>223986983+43261659</f>
        <v>267248642</v>
      </c>
      <c r="G16" s="1">
        <v>36</v>
      </c>
      <c r="H16" s="7">
        <v>126410</v>
      </c>
      <c r="I16" s="17">
        <f>6+1</f>
        <v>7</v>
      </c>
      <c r="J16" s="6">
        <f>37248+6191</f>
        <v>43439</v>
      </c>
      <c r="K16" s="1">
        <v>348</v>
      </c>
      <c r="L16" s="7">
        <v>11140915</v>
      </c>
      <c r="M16" s="17">
        <f>145+83</f>
        <v>228</v>
      </c>
      <c r="N16" s="6">
        <f>1543528+903502</f>
        <v>2447030</v>
      </c>
      <c r="O16" s="1">
        <f>88+27</f>
        <v>115</v>
      </c>
      <c r="P16" s="7">
        <f>3460595+1021210</f>
        <v>4481805</v>
      </c>
      <c r="Q16" s="1">
        <f>8373+2453</f>
        <v>10826</v>
      </c>
      <c r="R16" s="22">
        <f>71916348+21079561</f>
        <v>92995909</v>
      </c>
      <c r="S16" s="24">
        <f>11989+1854</f>
        <v>13843</v>
      </c>
      <c r="T16" s="24">
        <f>101024999+15229438</f>
        <v>116254437</v>
      </c>
      <c r="U16" s="230">
        <f t="shared" si="1"/>
        <v>868808744</v>
      </c>
      <c r="V16" s="231">
        <f t="shared" si="1"/>
        <v>868867034</v>
      </c>
    </row>
    <row r="17" spans="1:22" ht="13.5" thickBot="1" x14ac:dyDescent="0.25">
      <c r="A17" s="47">
        <v>11</v>
      </c>
      <c r="B17" s="44" t="s">
        <v>38</v>
      </c>
      <c r="C17" s="3">
        <f>45800+14651</f>
        <v>60451</v>
      </c>
      <c r="D17" s="8">
        <f>287623291+89769316</f>
        <v>377392607</v>
      </c>
      <c r="E17" s="3">
        <f>27391+5724</f>
        <v>33115</v>
      </c>
      <c r="F17" s="8">
        <f>267746147+50799633</f>
        <v>318545780</v>
      </c>
      <c r="G17" s="3">
        <f>32+5</f>
        <v>37</v>
      </c>
      <c r="H17" s="8">
        <f>113410+18000</f>
        <v>131410</v>
      </c>
      <c r="I17" s="18">
        <f>6+1</f>
        <v>7</v>
      </c>
      <c r="J17" s="21">
        <f>37248+6191</f>
        <v>43439</v>
      </c>
      <c r="K17" s="3">
        <v>346</v>
      </c>
      <c r="L17" s="8">
        <v>10893128</v>
      </c>
      <c r="M17" s="18">
        <f>147+79</f>
        <v>226</v>
      </c>
      <c r="N17" s="21">
        <f>1648478+891598</f>
        <v>2540076</v>
      </c>
      <c r="O17" s="3">
        <f>88+27</f>
        <v>115</v>
      </c>
      <c r="P17" s="8">
        <f>3432163+1021210</f>
        <v>4453373</v>
      </c>
      <c r="Q17" s="3">
        <f>8367+2458</f>
        <v>10825</v>
      </c>
      <c r="R17" s="23">
        <f>72358916+21114436</f>
        <v>93473352</v>
      </c>
      <c r="S17" s="24">
        <f>12169+1878</f>
        <v>14047</v>
      </c>
      <c r="T17" s="24">
        <f>119696096+18139710</f>
        <v>137835806</v>
      </c>
      <c r="U17" s="230">
        <f t="shared" si="1"/>
        <v>945308971</v>
      </c>
      <c r="V17" s="231">
        <f t="shared" si="1"/>
        <v>945367689</v>
      </c>
    </row>
    <row r="18" spans="1:22" ht="13.5" thickBot="1" x14ac:dyDescent="0.25">
      <c r="A18" s="42">
        <v>12</v>
      </c>
      <c r="B18" s="48" t="s">
        <v>39</v>
      </c>
      <c r="C18" s="71">
        <f>13440+11462+33469</f>
        <v>58371</v>
      </c>
      <c r="D18" s="72">
        <f>67914680+81500190+210743391+12665969</f>
        <v>372824230</v>
      </c>
      <c r="E18" s="73">
        <f>21715+5294+5425</f>
        <v>32434</v>
      </c>
      <c r="F18" s="74">
        <f>1316848+251992753+45689050+47963974</f>
        <v>346962625</v>
      </c>
      <c r="G18" s="75">
        <f>143+122+123</f>
        <v>388</v>
      </c>
      <c r="H18" s="74">
        <f>592199+542000+1635781</f>
        <v>2769980</v>
      </c>
      <c r="I18" s="76">
        <f>6+1</f>
        <v>7</v>
      </c>
      <c r="J18" s="77">
        <f>6191+40229</f>
        <v>46420</v>
      </c>
      <c r="K18" s="75">
        <f>349+50</f>
        <v>399</v>
      </c>
      <c r="L18" s="74">
        <f>9678029+1451868</f>
        <v>11129897</v>
      </c>
      <c r="M18" s="76">
        <f>44+95+102</f>
        <v>241</v>
      </c>
      <c r="N18" s="77">
        <f>1023369+478071+1391208</f>
        <v>2892648</v>
      </c>
      <c r="O18" s="75">
        <f>27+23+64</f>
        <v>114</v>
      </c>
      <c r="P18" s="74">
        <f>2789286+615237+1021210</f>
        <v>4425733</v>
      </c>
      <c r="Q18" s="75">
        <f>2275+6434+18+1958</f>
        <v>10685</v>
      </c>
      <c r="R18" s="78">
        <f>16708309+192922+55697084+19390444</f>
        <v>91988759</v>
      </c>
      <c r="S18" s="79">
        <f>1858+2311+15+9946</f>
        <v>14130</v>
      </c>
      <c r="T18" s="79">
        <f>104126248+122410+21974233+17964568</f>
        <v>144187459</v>
      </c>
      <c r="U18" s="230">
        <f t="shared" si="1"/>
        <v>977227751</v>
      </c>
      <c r="V18" s="231">
        <f t="shared" si="1"/>
        <v>977286149</v>
      </c>
    </row>
    <row r="19" spans="1:22" ht="13.5" thickBot="1" x14ac:dyDescent="0.25">
      <c r="A19" s="234"/>
      <c r="B19" s="221" t="s">
        <v>3</v>
      </c>
      <c r="C19" s="222">
        <f t="shared" ref="C19" si="2">SUM(C7:C18)</f>
        <v>688534</v>
      </c>
      <c r="D19" s="223">
        <f t="shared" ref="D19:U19" si="3">SUM(D7:D18)</f>
        <v>4344490974</v>
      </c>
      <c r="E19" s="222">
        <f t="shared" si="3"/>
        <v>397710</v>
      </c>
      <c r="F19" s="223">
        <f t="shared" si="3"/>
        <v>3550115891</v>
      </c>
      <c r="G19" s="222">
        <f t="shared" si="3"/>
        <v>3653</v>
      </c>
      <c r="H19" s="223">
        <f t="shared" si="3"/>
        <v>22789073</v>
      </c>
      <c r="I19" s="224">
        <f t="shared" si="3"/>
        <v>107</v>
      </c>
      <c r="J19" s="225">
        <f t="shared" si="3"/>
        <v>762777</v>
      </c>
      <c r="K19" s="222">
        <f t="shared" si="3"/>
        <v>4201</v>
      </c>
      <c r="L19" s="223">
        <f t="shared" si="3"/>
        <v>131449285</v>
      </c>
      <c r="M19" s="224">
        <f t="shared" si="3"/>
        <v>2720</v>
      </c>
      <c r="N19" s="225">
        <f t="shared" si="3"/>
        <v>29984043</v>
      </c>
      <c r="O19" s="222">
        <f t="shared" si="3"/>
        <v>1394</v>
      </c>
      <c r="P19" s="223">
        <f t="shared" si="3"/>
        <v>53800090</v>
      </c>
      <c r="Q19" s="226">
        <f t="shared" si="3"/>
        <v>129607</v>
      </c>
      <c r="R19" s="227">
        <f t="shared" si="3"/>
        <v>1111541107</v>
      </c>
      <c r="S19" s="228">
        <f t="shared" si="3"/>
        <v>162230</v>
      </c>
      <c r="T19" s="229">
        <f t="shared" si="3"/>
        <v>1481206435</v>
      </c>
      <c r="U19" s="230">
        <f t="shared" si="3"/>
        <v>10726139675</v>
      </c>
      <c r="V19" s="231"/>
    </row>
    <row r="22" spans="1:22" ht="13.5" thickBot="1" x14ac:dyDescent="0.25">
      <c r="F22" s="183"/>
      <c r="G22" s="183"/>
    </row>
    <row r="23" spans="1:22" ht="13.5" thickBot="1" x14ac:dyDescent="0.25">
      <c r="B23" s="36" t="s">
        <v>0</v>
      </c>
      <c r="C23" s="63" t="s">
        <v>1</v>
      </c>
      <c r="D23" s="191" t="s">
        <v>26</v>
      </c>
      <c r="E23" s="194"/>
      <c r="F23" s="193" t="s">
        <v>2</v>
      </c>
      <c r="G23" s="192"/>
    </row>
    <row r="24" spans="1:22" ht="13.5" thickBot="1" x14ac:dyDescent="0.25">
      <c r="B24" s="219"/>
      <c r="C24" s="63"/>
      <c r="D24" s="198" t="s">
        <v>24</v>
      </c>
      <c r="E24" s="195" t="s">
        <v>4</v>
      </c>
      <c r="F24" s="211" t="s">
        <v>24</v>
      </c>
      <c r="G24" s="49" t="s">
        <v>4</v>
      </c>
    </row>
    <row r="25" spans="1:22" x14ac:dyDescent="0.2">
      <c r="B25" s="40">
        <v>1</v>
      </c>
      <c r="C25" s="41" t="s">
        <v>19</v>
      </c>
      <c r="D25" s="199">
        <v>4378</v>
      </c>
      <c r="E25" s="10">
        <v>12659480</v>
      </c>
      <c r="F25" s="212">
        <v>15</v>
      </c>
      <c r="G25" s="26">
        <v>151000</v>
      </c>
    </row>
    <row r="26" spans="1:22" x14ac:dyDescent="0.2">
      <c r="B26" s="42">
        <v>2</v>
      </c>
      <c r="C26" s="43" t="s">
        <v>29</v>
      </c>
      <c r="D26" s="200">
        <v>4315</v>
      </c>
      <c r="E26" s="196">
        <v>13645732</v>
      </c>
      <c r="F26" s="213">
        <v>15</v>
      </c>
      <c r="G26" s="196">
        <v>151000</v>
      </c>
    </row>
    <row r="27" spans="1:22" x14ac:dyDescent="0.2">
      <c r="B27" s="40">
        <v>3</v>
      </c>
      <c r="C27" s="43" t="s">
        <v>30</v>
      </c>
      <c r="D27" s="201">
        <v>4283</v>
      </c>
      <c r="E27" s="5">
        <v>13528215</v>
      </c>
      <c r="F27" s="214">
        <v>13</v>
      </c>
      <c r="G27" s="207">
        <v>123000</v>
      </c>
    </row>
    <row r="28" spans="1:22" x14ac:dyDescent="0.2">
      <c r="B28" s="42">
        <v>4</v>
      </c>
      <c r="C28" s="43" t="s">
        <v>31</v>
      </c>
      <c r="D28" s="202">
        <v>4295</v>
      </c>
      <c r="E28" s="6">
        <v>13612482</v>
      </c>
      <c r="F28" s="215">
        <v>13</v>
      </c>
      <c r="G28" s="208">
        <v>123000</v>
      </c>
    </row>
    <row r="29" spans="1:22" x14ac:dyDescent="0.2">
      <c r="B29" s="50">
        <v>5</v>
      </c>
      <c r="C29" s="44" t="s">
        <v>32</v>
      </c>
      <c r="D29" s="202">
        <v>4303</v>
      </c>
      <c r="E29" s="6">
        <v>13648612</v>
      </c>
      <c r="F29" s="215">
        <v>13</v>
      </c>
      <c r="G29" s="208">
        <v>123000</v>
      </c>
    </row>
    <row r="30" spans="1:22" x14ac:dyDescent="0.2">
      <c r="B30" s="42">
        <v>6</v>
      </c>
      <c r="C30" s="44" t="s">
        <v>33</v>
      </c>
      <c r="D30" s="202">
        <v>4308</v>
      </c>
      <c r="E30" s="6">
        <v>13638206</v>
      </c>
      <c r="F30" s="215">
        <v>13</v>
      </c>
      <c r="G30" s="208">
        <v>123000</v>
      </c>
    </row>
    <row r="31" spans="1:22" x14ac:dyDescent="0.2">
      <c r="B31" s="45">
        <v>7</v>
      </c>
      <c r="C31" s="46" t="s">
        <v>34</v>
      </c>
      <c r="D31" s="203">
        <v>4303</v>
      </c>
      <c r="E31" s="6">
        <v>13650231</v>
      </c>
      <c r="F31" s="216">
        <v>13</v>
      </c>
      <c r="G31" s="208">
        <v>123000</v>
      </c>
    </row>
    <row r="32" spans="1:22" x14ac:dyDescent="0.2">
      <c r="B32" s="42">
        <v>8</v>
      </c>
      <c r="C32" s="44" t="s">
        <v>35</v>
      </c>
      <c r="D32" s="202">
        <f>1220+3052</f>
        <v>4272</v>
      </c>
      <c r="E32" s="6">
        <f>3931648+9644946</f>
        <v>13576594</v>
      </c>
      <c r="F32" s="215">
        <v>13</v>
      </c>
      <c r="G32" s="208">
        <v>123000</v>
      </c>
    </row>
    <row r="33" spans="2:7" x14ac:dyDescent="0.2">
      <c r="B33" s="40">
        <v>9</v>
      </c>
      <c r="C33" s="44" t="s">
        <v>36</v>
      </c>
      <c r="D33" s="204">
        <v>4294</v>
      </c>
      <c r="E33" s="5">
        <v>13693210</v>
      </c>
      <c r="F33" s="214">
        <v>11</v>
      </c>
      <c r="G33" s="207">
        <v>106000</v>
      </c>
    </row>
    <row r="34" spans="2:7" x14ac:dyDescent="0.2">
      <c r="B34" s="40">
        <v>10</v>
      </c>
      <c r="C34" s="44" t="s">
        <v>37</v>
      </c>
      <c r="D34" s="202">
        <f>1234+3054</f>
        <v>4288</v>
      </c>
      <c r="E34" s="6">
        <f>3985291+9633213</f>
        <v>13618504</v>
      </c>
      <c r="F34" s="215">
        <v>12</v>
      </c>
      <c r="G34" s="208">
        <v>116000</v>
      </c>
    </row>
    <row r="35" spans="2:7" x14ac:dyDescent="0.2">
      <c r="B35" s="47">
        <v>11</v>
      </c>
      <c r="C35" s="44" t="s">
        <v>38</v>
      </c>
      <c r="D35" s="205">
        <f>1236+3047</f>
        <v>4283</v>
      </c>
      <c r="E35" s="19">
        <f>4003794+9615950</f>
        <v>13619744</v>
      </c>
      <c r="F35" s="217">
        <v>13</v>
      </c>
      <c r="G35" s="209">
        <v>204452</v>
      </c>
    </row>
    <row r="36" spans="2:7" ht="13.5" thickBot="1" x14ac:dyDescent="0.25">
      <c r="B36" s="42">
        <v>12</v>
      </c>
      <c r="C36" s="48" t="s">
        <v>39</v>
      </c>
      <c r="D36" s="206">
        <f>2398+1881</f>
        <v>4279</v>
      </c>
      <c r="E36" s="197">
        <f>7563326+6080627</f>
        <v>13643953</v>
      </c>
      <c r="F36" s="218">
        <v>13</v>
      </c>
      <c r="G36" s="210">
        <v>134000</v>
      </c>
    </row>
    <row r="37" spans="2:7" ht="13.5" thickBot="1" x14ac:dyDescent="0.25">
      <c r="B37" s="234"/>
      <c r="C37" s="221" t="s">
        <v>3</v>
      </c>
      <c r="D37" s="235">
        <f>SUM(D25:D36)</f>
        <v>51601</v>
      </c>
      <c r="E37" s="236">
        <f>SUM(E25:E36)</f>
        <v>162534963</v>
      </c>
      <c r="F37" s="237">
        <f>SUM(F25:F36)</f>
        <v>157</v>
      </c>
      <c r="G37" s="236">
        <f>SUM(G25:G36)</f>
        <v>1600452</v>
      </c>
    </row>
  </sheetData>
  <mergeCells count="29">
    <mergeCell ref="C23:C24"/>
    <mergeCell ref="D23:E23"/>
    <mergeCell ref="U18:V18"/>
    <mergeCell ref="U12:V12"/>
    <mergeCell ref="U13:V13"/>
    <mergeCell ref="U14:V14"/>
    <mergeCell ref="U15:V15"/>
    <mergeCell ref="U16:V16"/>
    <mergeCell ref="U17:V17"/>
    <mergeCell ref="F23:G23"/>
    <mergeCell ref="U5:V5"/>
    <mergeCell ref="U6:V6"/>
    <mergeCell ref="U7:V7"/>
    <mergeCell ref="U8:V8"/>
    <mergeCell ref="U19:V19"/>
    <mergeCell ref="U9:V9"/>
    <mergeCell ref="U10:V10"/>
    <mergeCell ref="U11:V11"/>
    <mergeCell ref="S5:T5"/>
    <mergeCell ref="K5:L5"/>
    <mergeCell ref="F2:Q2"/>
    <mergeCell ref="B5:B6"/>
    <mergeCell ref="C5:D5"/>
    <mergeCell ref="E5:F5"/>
    <mergeCell ref="G5:H5"/>
    <mergeCell ref="I5:J5"/>
    <mergeCell ref="M5:N5"/>
    <mergeCell ref="O5:P5"/>
    <mergeCell ref="Q5:R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71D1-0819-4180-908A-49C63E4875C6}">
  <dimension ref="A2:U20"/>
  <sheetViews>
    <sheetView workbookViewId="0">
      <selection activeCell="H31" sqref="H31"/>
    </sheetView>
  </sheetViews>
  <sheetFormatPr defaultRowHeight="12.75" x14ac:dyDescent="0.2"/>
  <cols>
    <col min="1" max="1" width="9.28515625" style="51" bestFit="1" customWidth="1"/>
    <col min="2" max="2" width="9.140625" style="51"/>
    <col min="3" max="3" width="13.5703125" style="51" bestFit="1" customWidth="1"/>
    <col min="4" max="4" width="12.7109375" style="51" bestFit="1" customWidth="1"/>
    <col min="5" max="5" width="13.5703125" style="51" bestFit="1" customWidth="1"/>
    <col min="6" max="6" width="12.7109375" style="51" bestFit="1" customWidth="1"/>
    <col min="7" max="7" width="13.5703125" style="51" bestFit="1" customWidth="1"/>
    <col min="8" max="8" width="14.140625" style="51" bestFit="1" customWidth="1"/>
    <col min="9" max="9" width="13.5703125" style="51" bestFit="1" customWidth="1"/>
    <col min="10" max="10" width="11.42578125" style="51" bestFit="1" customWidth="1"/>
    <col min="11" max="11" width="13.5703125" style="51" bestFit="1" customWidth="1"/>
    <col min="12" max="12" width="9.28515625" style="51" bestFit="1" customWidth="1"/>
    <col min="13" max="13" width="13.5703125" style="51" bestFit="1" customWidth="1"/>
    <col min="14" max="14" width="12.7109375" style="51" bestFit="1" customWidth="1"/>
    <col min="15" max="15" width="13.5703125" style="51" bestFit="1" customWidth="1"/>
    <col min="16" max="16" width="11.42578125" style="51" bestFit="1" customWidth="1"/>
    <col min="17" max="17" width="13.5703125" style="51" bestFit="1" customWidth="1"/>
    <col min="18" max="18" width="12.28515625" style="51" customWidth="1"/>
    <col min="19" max="19" width="19.5703125" style="51" customWidth="1"/>
    <col min="20" max="20" width="18.140625" style="51" customWidth="1"/>
    <col min="21" max="16384" width="9.140625" style="51"/>
  </cols>
  <sheetData>
    <row r="2" spans="1:19" ht="20.25" x14ac:dyDescent="0.3">
      <c r="D2" s="186" t="s">
        <v>28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9" ht="13.5" thickBot="1" x14ac:dyDescent="0.25">
      <c r="Q3" s="183"/>
      <c r="R3" s="183"/>
    </row>
    <row r="4" spans="1:19" ht="45" customHeight="1" thickBot="1" x14ac:dyDescent="0.25">
      <c r="A4" s="174" t="s">
        <v>0</v>
      </c>
      <c r="B4" s="68" t="s">
        <v>1</v>
      </c>
      <c r="C4" s="69" t="s">
        <v>14</v>
      </c>
      <c r="D4" s="109"/>
      <c r="E4" s="70" t="s">
        <v>15</v>
      </c>
      <c r="F4" s="111"/>
      <c r="G4" s="132" t="s">
        <v>16</v>
      </c>
      <c r="H4" s="109"/>
      <c r="I4" s="70" t="s">
        <v>17</v>
      </c>
      <c r="J4" s="133"/>
      <c r="K4" s="69" t="s">
        <v>18</v>
      </c>
      <c r="L4" s="109"/>
      <c r="M4" s="70" t="s">
        <v>21</v>
      </c>
      <c r="N4" s="109"/>
      <c r="O4" s="70" t="s">
        <v>22</v>
      </c>
      <c r="P4" s="109"/>
      <c r="Q4" s="148" t="s">
        <v>23</v>
      </c>
      <c r="R4" s="84"/>
      <c r="S4" s="170" t="s">
        <v>3</v>
      </c>
    </row>
    <row r="5" spans="1:19" ht="24" customHeight="1" thickTop="1" thickBot="1" x14ac:dyDescent="0.25">
      <c r="A5" s="175"/>
      <c r="B5" s="68"/>
      <c r="C5" s="97" t="s">
        <v>24</v>
      </c>
      <c r="D5" s="102" t="s">
        <v>4</v>
      </c>
      <c r="E5" s="113" t="s">
        <v>24</v>
      </c>
      <c r="F5" s="102" t="s">
        <v>4</v>
      </c>
      <c r="G5" s="121" t="s">
        <v>24</v>
      </c>
      <c r="H5" s="124" t="s">
        <v>4</v>
      </c>
      <c r="I5" s="113" t="s">
        <v>24</v>
      </c>
      <c r="J5" s="134" t="s">
        <v>4</v>
      </c>
      <c r="K5" s="113" t="s">
        <v>24</v>
      </c>
      <c r="L5" s="102" t="s">
        <v>4</v>
      </c>
      <c r="M5" s="121" t="s">
        <v>24</v>
      </c>
      <c r="N5" s="142" t="s">
        <v>4</v>
      </c>
      <c r="O5" s="138" t="s">
        <v>24</v>
      </c>
      <c r="P5" s="142" t="s">
        <v>4</v>
      </c>
      <c r="Q5" s="144" t="s">
        <v>24</v>
      </c>
      <c r="R5" s="99" t="s">
        <v>4</v>
      </c>
      <c r="S5" s="102" t="s">
        <v>4</v>
      </c>
    </row>
    <row r="6" spans="1:19" ht="27.75" customHeight="1" x14ac:dyDescent="0.2">
      <c r="A6" s="176">
        <v>1</v>
      </c>
      <c r="B6" s="52" t="s">
        <v>19</v>
      </c>
      <c r="C6" s="85"/>
      <c r="D6" s="103"/>
      <c r="E6" s="114">
        <v>590</v>
      </c>
      <c r="F6" s="103">
        <v>10084603</v>
      </c>
      <c r="G6" s="122">
        <v>16610</v>
      </c>
      <c r="H6" s="125">
        <v>156621830</v>
      </c>
      <c r="I6" s="125">
        <v>222</v>
      </c>
      <c r="J6" s="125">
        <v>2682562</v>
      </c>
      <c r="K6" s="114">
        <v>2</v>
      </c>
      <c r="L6" s="137">
        <v>36764</v>
      </c>
      <c r="M6" s="135">
        <v>18736</v>
      </c>
      <c r="N6" s="103">
        <v>36609504</v>
      </c>
      <c r="O6" s="139">
        <v>86</v>
      </c>
      <c r="P6" s="103">
        <v>2853991</v>
      </c>
      <c r="Q6" s="139"/>
      <c r="R6" s="98"/>
      <c r="S6" s="171">
        <v>262796430</v>
      </c>
    </row>
    <row r="7" spans="1:19" x14ac:dyDescent="0.2">
      <c r="A7" s="177">
        <v>2</v>
      </c>
      <c r="B7" s="53" t="s">
        <v>29</v>
      </c>
      <c r="C7" s="86">
        <v>6107</v>
      </c>
      <c r="D7" s="104">
        <v>53907176</v>
      </c>
      <c r="E7" s="115">
        <v>894</v>
      </c>
      <c r="F7" s="104">
        <v>15867697</v>
      </c>
      <c r="G7" s="93">
        <v>8580</v>
      </c>
      <c r="H7" s="126">
        <v>84219553</v>
      </c>
      <c r="I7" s="126">
        <v>57</v>
      </c>
      <c r="J7" s="126">
        <v>698551</v>
      </c>
      <c r="K7" s="115">
        <v>0</v>
      </c>
      <c r="L7" s="104">
        <v>0</v>
      </c>
      <c r="M7" s="93">
        <v>18552</v>
      </c>
      <c r="N7" s="104">
        <v>36866526</v>
      </c>
      <c r="O7" s="93">
        <v>86</v>
      </c>
      <c r="P7" s="104">
        <v>2778743</v>
      </c>
      <c r="Q7" s="93">
        <v>28480</v>
      </c>
      <c r="R7" s="88">
        <v>85522376</v>
      </c>
      <c r="S7" s="172">
        <v>281417957</v>
      </c>
    </row>
    <row r="8" spans="1:19" x14ac:dyDescent="0.2">
      <c r="A8" s="178">
        <v>3</v>
      </c>
      <c r="B8" s="53" t="s">
        <v>30</v>
      </c>
      <c r="C8" s="87">
        <v>6195</v>
      </c>
      <c r="D8" s="105">
        <v>55464511</v>
      </c>
      <c r="E8" s="116">
        <v>938</v>
      </c>
      <c r="F8" s="105">
        <v>17059781</v>
      </c>
      <c r="G8" s="94">
        <v>13777</v>
      </c>
      <c r="H8" s="127">
        <v>180390686</v>
      </c>
      <c r="I8" s="127">
        <v>108</v>
      </c>
      <c r="J8" s="127">
        <v>1997493</v>
      </c>
      <c r="K8" s="116">
        <v>1</v>
      </c>
      <c r="L8" s="105">
        <v>36764</v>
      </c>
      <c r="M8" s="94">
        <v>18522</v>
      </c>
      <c r="N8" s="105">
        <v>37706585</v>
      </c>
      <c r="O8" s="94">
        <v>87</v>
      </c>
      <c r="P8" s="105">
        <v>2805864</v>
      </c>
      <c r="Q8" s="145"/>
      <c r="R8" s="89"/>
      <c r="S8" s="172">
        <v>300014980</v>
      </c>
    </row>
    <row r="9" spans="1:19" x14ac:dyDescent="0.2">
      <c r="A9" s="177">
        <v>4</v>
      </c>
      <c r="B9" s="53" t="s">
        <v>31</v>
      </c>
      <c r="C9" s="87">
        <v>6221</v>
      </c>
      <c r="D9" s="105">
        <v>60017807</v>
      </c>
      <c r="E9" s="116">
        <v>806</v>
      </c>
      <c r="F9" s="105">
        <v>14518142</v>
      </c>
      <c r="G9" s="94">
        <v>15156</v>
      </c>
      <c r="H9" s="127">
        <v>172941288</v>
      </c>
      <c r="I9" s="127">
        <v>57</v>
      </c>
      <c r="J9" s="127">
        <v>785510</v>
      </c>
      <c r="K9" s="116">
        <v>1</v>
      </c>
      <c r="L9" s="105">
        <v>17196</v>
      </c>
      <c r="M9" s="94">
        <v>18347</v>
      </c>
      <c r="N9" s="105">
        <v>36841717</v>
      </c>
      <c r="O9" s="94">
        <v>85</v>
      </c>
      <c r="P9" s="105">
        <v>2696183</v>
      </c>
      <c r="Q9" s="94"/>
      <c r="R9" s="88"/>
      <c r="S9" s="172">
        <v>284922159</v>
      </c>
    </row>
    <row r="10" spans="1:19" x14ac:dyDescent="0.2">
      <c r="A10" s="178">
        <v>5</v>
      </c>
      <c r="B10" s="54" t="s">
        <v>32</v>
      </c>
      <c r="C10" s="92">
        <v>6166</v>
      </c>
      <c r="D10" s="106">
        <v>57122123</v>
      </c>
      <c r="E10" s="116">
        <v>667</v>
      </c>
      <c r="F10" s="105">
        <v>11551781</v>
      </c>
      <c r="G10" s="94">
        <v>15271</v>
      </c>
      <c r="H10" s="127">
        <v>154696977</v>
      </c>
      <c r="I10" s="127">
        <v>12</v>
      </c>
      <c r="J10" s="127">
        <v>71032</v>
      </c>
      <c r="K10" s="116">
        <v>1</v>
      </c>
      <c r="L10" s="105">
        <v>18382</v>
      </c>
      <c r="M10" s="94">
        <v>18173</v>
      </c>
      <c r="N10" s="105">
        <v>36520685</v>
      </c>
      <c r="O10" s="140">
        <v>87</v>
      </c>
      <c r="P10" s="106">
        <v>2951462</v>
      </c>
      <c r="Q10" s="94">
        <v>25112</v>
      </c>
      <c r="R10" s="88">
        <v>77701700</v>
      </c>
      <c r="S10" s="172">
        <v>340021956</v>
      </c>
    </row>
    <row r="11" spans="1:19" x14ac:dyDescent="0.2">
      <c r="A11" s="177">
        <v>6</v>
      </c>
      <c r="B11" s="54" t="s">
        <v>33</v>
      </c>
      <c r="C11" s="87">
        <v>6063</v>
      </c>
      <c r="D11" s="105">
        <v>56509937</v>
      </c>
      <c r="E11" s="116">
        <v>870</v>
      </c>
      <c r="F11" s="105">
        <v>15941853</v>
      </c>
      <c r="G11" s="94">
        <v>15144</v>
      </c>
      <c r="H11" s="127">
        <v>146020594</v>
      </c>
      <c r="I11" s="127">
        <v>0</v>
      </c>
      <c r="J11" s="127">
        <v>0</v>
      </c>
      <c r="K11" s="116">
        <v>0</v>
      </c>
      <c r="L11" s="105">
        <v>0</v>
      </c>
      <c r="M11" s="94">
        <v>18073</v>
      </c>
      <c r="N11" s="105">
        <v>37418291</v>
      </c>
      <c r="O11" s="94">
        <v>89</v>
      </c>
      <c r="P11" s="105">
        <v>2900262</v>
      </c>
      <c r="Q11" s="94"/>
      <c r="R11" s="88"/>
      <c r="S11" s="172">
        <v>260479371</v>
      </c>
    </row>
    <row r="12" spans="1:19" x14ac:dyDescent="0.2">
      <c r="A12" s="178">
        <v>7</v>
      </c>
      <c r="B12" s="55" t="s">
        <v>34</v>
      </c>
      <c r="C12" s="87">
        <v>6185</v>
      </c>
      <c r="D12" s="105">
        <v>58198371</v>
      </c>
      <c r="E12" s="117">
        <v>643</v>
      </c>
      <c r="F12" s="110">
        <v>11846390</v>
      </c>
      <c r="G12" s="95">
        <f>2312+12510</f>
        <v>14822</v>
      </c>
      <c r="H12" s="128">
        <f>21653319+120289055</f>
        <v>141942374</v>
      </c>
      <c r="I12" s="128">
        <v>0</v>
      </c>
      <c r="J12" s="128">
        <v>0</v>
      </c>
      <c r="K12" s="117">
        <v>0</v>
      </c>
      <c r="L12" s="110">
        <v>0</v>
      </c>
      <c r="M12" s="95">
        <f>2697+15041</f>
        <v>17738</v>
      </c>
      <c r="N12" s="110">
        <f>5273008+30785853</f>
        <v>36058861</v>
      </c>
      <c r="O12" s="95">
        <f>20+65</f>
        <v>85</v>
      </c>
      <c r="P12" s="110">
        <f>652281+2042801</f>
        <v>2695082</v>
      </c>
      <c r="Q12" s="95">
        <v>23328</v>
      </c>
      <c r="R12" s="90">
        <v>72292233</v>
      </c>
      <c r="S12" s="172">
        <v>321306532</v>
      </c>
    </row>
    <row r="13" spans="1:19" x14ac:dyDescent="0.2">
      <c r="A13" s="177">
        <v>8</v>
      </c>
      <c r="B13" s="54" t="s">
        <v>35</v>
      </c>
      <c r="C13" s="87">
        <f>4917+1206</f>
        <v>6123</v>
      </c>
      <c r="D13" s="105">
        <f>45838978+10632614</f>
        <v>56471592</v>
      </c>
      <c r="E13" s="118">
        <f>53+653</f>
        <v>706</v>
      </c>
      <c r="F13" s="112">
        <f>1422551+12032086</f>
        <v>13454637</v>
      </c>
      <c r="G13" s="96">
        <f>2414+12372</f>
        <v>14786</v>
      </c>
      <c r="H13" s="129">
        <f>23644569+118679148</f>
        <v>142323717</v>
      </c>
      <c r="I13" s="129">
        <v>0</v>
      </c>
      <c r="J13" s="129">
        <v>0</v>
      </c>
      <c r="K13" s="118">
        <v>0</v>
      </c>
      <c r="L13" s="112">
        <v>0</v>
      </c>
      <c r="M13" s="96">
        <f>2796+14901</f>
        <v>17697</v>
      </c>
      <c r="N13" s="112">
        <f>5611599+31499238</f>
        <v>37110837</v>
      </c>
      <c r="O13" s="95">
        <f>23+63</f>
        <v>86</v>
      </c>
      <c r="P13" s="110">
        <f>733955+2008003</f>
        <v>2741958</v>
      </c>
      <c r="Q13" s="95"/>
      <c r="R13" s="90"/>
      <c r="S13" s="172">
        <v>253886663</v>
      </c>
    </row>
    <row r="14" spans="1:19" x14ac:dyDescent="0.2">
      <c r="A14" s="178">
        <v>9</v>
      </c>
      <c r="B14" s="54" t="s">
        <v>36</v>
      </c>
      <c r="C14" s="92">
        <f>4949+1241</f>
        <v>6190</v>
      </c>
      <c r="D14" s="106">
        <f>47293217+10962297</f>
        <v>58255514</v>
      </c>
      <c r="E14" s="117">
        <f>146+565</f>
        <v>711</v>
      </c>
      <c r="F14" s="110">
        <f>2259632+10381350</f>
        <v>12640982</v>
      </c>
      <c r="G14" s="95">
        <f>2371+12179</f>
        <v>14550</v>
      </c>
      <c r="H14" s="128">
        <f>22309811+117214391</f>
        <v>139524202</v>
      </c>
      <c r="I14" s="128">
        <v>0</v>
      </c>
      <c r="J14" s="128">
        <v>0</v>
      </c>
      <c r="K14" s="117">
        <v>0</v>
      </c>
      <c r="L14" s="110">
        <v>0</v>
      </c>
      <c r="M14" s="95">
        <f>2810+14743</f>
        <v>17553</v>
      </c>
      <c r="N14" s="110">
        <f>5630346+31020314</f>
        <v>36650660</v>
      </c>
      <c r="O14" s="96">
        <f>23+63</f>
        <v>86</v>
      </c>
      <c r="P14" s="112">
        <f>815628+1965097</f>
        <v>2780725</v>
      </c>
      <c r="Q14" s="95"/>
      <c r="R14" s="90"/>
      <c r="S14" s="172">
        <v>249598819</v>
      </c>
    </row>
    <row r="15" spans="1:19" x14ac:dyDescent="0.2">
      <c r="A15" s="177">
        <v>10</v>
      </c>
      <c r="B15" s="54" t="s">
        <v>37</v>
      </c>
      <c r="C15" s="87">
        <f>4985+1271</f>
        <v>6256</v>
      </c>
      <c r="D15" s="105">
        <f>46568818+11433432</f>
        <v>58002250</v>
      </c>
      <c r="E15" s="116">
        <f>469+146</f>
        <v>615</v>
      </c>
      <c r="F15" s="105">
        <f>8709381+2552325</f>
        <v>11261706</v>
      </c>
      <c r="G15" s="94">
        <f>12011+2308</f>
        <v>14319</v>
      </c>
      <c r="H15" s="127">
        <f>115278040+21764520</f>
        <v>137042560</v>
      </c>
      <c r="I15" s="127">
        <v>0</v>
      </c>
      <c r="J15" s="127">
        <v>0</v>
      </c>
      <c r="K15" s="116">
        <v>0</v>
      </c>
      <c r="L15" s="105">
        <v>0</v>
      </c>
      <c r="M15" s="94">
        <f>14604+2761</f>
        <v>17365</v>
      </c>
      <c r="N15" s="105">
        <f>29570415+5458562</f>
        <v>35028977</v>
      </c>
      <c r="O15" s="94">
        <f>65+23</f>
        <v>88</v>
      </c>
      <c r="P15" s="105">
        <f>2109182+733955</f>
        <v>2843137</v>
      </c>
      <c r="Q15" s="94">
        <v>4876</v>
      </c>
      <c r="R15" s="88">
        <v>14675424</v>
      </c>
      <c r="S15" s="172">
        <v>257575916</v>
      </c>
    </row>
    <row r="16" spans="1:19" x14ac:dyDescent="0.2">
      <c r="A16" s="177">
        <v>11</v>
      </c>
      <c r="B16" s="54" t="s">
        <v>38</v>
      </c>
      <c r="C16" s="87">
        <f>4942+1253</f>
        <v>6195</v>
      </c>
      <c r="D16" s="105">
        <f>45462024+11262088</f>
        <v>56724112</v>
      </c>
      <c r="E16" s="116">
        <f>591+211</f>
        <v>802</v>
      </c>
      <c r="F16" s="105">
        <f>11152202+3750215</f>
        <v>14902417</v>
      </c>
      <c r="G16" s="94">
        <f>11981+2233</f>
        <v>14214</v>
      </c>
      <c r="H16" s="127">
        <f>115697242+21107223</f>
        <v>136804465</v>
      </c>
      <c r="I16" s="127">
        <v>0</v>
      </c>
      <c r="J16" s="127">
        <v>0</v>
      </c>
      <c r="K16" s="116">
        <v>0</v>
      </c>
      <c r="L16" s="105">
        <v>0</v>
      </c>
      <c r="M16" s="94">
        <f>14667+2724</f>
        <v>17391</v>
      </c>
      <c r="N16" s="105">
        <f>31524371+5421749</f>
        <v>36946120</v>
      </c>
      <c r="O16" s="94">
        <f>56+22</f>
        <v>78</v>
      </c>
      <c r="P16" s="105">
        <f>1752910+701287</f>
        <v>2454197</v>
      </c>
      <c r="Q16" s="94"/>
      <c r="R16" s="88"/>
      <c r="S16" s="172">
        <v>247711213</v>
      </c>
    </row>
    <row r="17" spans="1:21" x14ac:dyDescent="0.2">
      <c r="A17" s="179">
        <v>12</v>
      </c>
      <c r="B17" s="56" t="s">
        <v>39</v>
      </c>
      <c r="C17" s="101">
        <f>4926+1205</f>
        <v>6131</v>
      </c>
      <c r="D17" s="107">
        <f>45545085+11058929</f>
        <v>56604014</v>
      </c>
      <c r="E17" s="119">
        <f>590+197+234</f>
        <v>1021</v>
      </c>
      <c r="F17" s="108">
        <f>4097336+3547669+10835032</f>
        <v>18480037</v>
      </c>
      <c r="G17" s="123">
        <f>2075+5+10009+1643</f>
        <v>13732</v>
      </c>
      <c r="H17" s="130">
        <f>102440163+94004+19960551+15724227</f>
        <v>138218945</v>
      </c>
      <c r="I17" s="131">
        <v>0</v>
      </c>
      <c r="J17" s="131">
        <v>0</v>
      </c>
      <c r="K17" s="120">
        <v>0</v>
      </c>
      <c r="L17" s="107">
        <v>0</v>
      </c>
      <c r="M17" s="136">
        <f>2592+2387+59+11918</f>
        <v>16956</v>
      </c>
      <c r="N17" s="143">
        <f>33705390+170753+4679944+5188049</f>
        <v>43744136</v>
      </c>
      <c r="O17" s="141">
        <f>45+21+12</f>
        <v>78</v>
      </c>
      <c r="P17" s="143">
        <f>365897+675248+1646010</f>
        <v>2687155</v>
      </c>
      <c r="Q17" s="146"/>
      <c r="R17" s="91"/>
      <c r="S17" s="172">
        <v>260912013</v>
      </c>
    </row>
    <row r="18" spans="1:21" ht="13.5" thickBot="1" x14ac:dyDescent="0.25">
      <c r="A18" s="180">
        <v>13</v>
      </c>
      <c r="B18" s="159" t="s">
        <v>40</v>
      </c>
      <c r="C18" s="160">
        <f>29+1014+4064+1292</f>
        <v>6399</v>
      </c>
      <c r="D18" s="161">
        <f>11624098+36710226+9094222+353194</f>
        <v>57781740</v>
      </c>
      <c r="E18" s="162"/>
      <c r="F18" s="163"/>
      <c r="G18" s="164"/>
      <c r="H18" s="165"/>
      <c r="I18" s="165"/>
      <c r="J18" s="165"/>
      <c r="K18" s="162"/>
      <c r="L18" s="163"/>
      <c r="M18" s="166"/>
      <c r="N18" s="167"/>
      <c r="O18" s="168"/>
      <c r="P18" s="169"/>
      <c r="Q18" s="147"/>
      <c r="R18" s="100"/>
      <c r="S18" s="173"/>
      <c r="T18" s="184"/>
      <c r="U18" s="185"/>
    </row>
    <row r="19" spans="1:21" ht="14.25" thickTop="1" thickBot="1" x14ac:dyDescent="0.25">
      <c r="A19" s="181"/>
      <c r="B19" s="153" t="s">
        <v>20</v>
      </c>
      <c r="C19" s="151">
        <f>SUM(C6:C18)</f>
        <v>74231</v>
      </c>
      <c r="D19" s="152">
        <f>SUM(D7:D18)</f>
        <v>685059147</v>
      </c>
      <c r="E19" s="154">
        <f>SUM(E6:E17)</f>
        <v>9263</v>
      </c>
      <c r="F19" s="155">
        <f>SUM(F6:F17)</f>
        <v>167610026</v>
      </c>
      <c r="G19" s="156">
        <f>SUM(G6:G18)</f>
        <v>170961</v>
      </c>
      <c r="H19" s="157">
        <f>SUM(H6:H18)</f>
        <v>1730747191</v>
      </c>
      <c r="I19" s="154">
        <f>SUM(I6:I17)</f>
        <v>456</v>
      </c>
      <c r="J19" s="157">
        <f>SUM(J6:J18)</f>
        <v>6235148</v>
      </c>
      <c r="K19" s="154">
        <f>SUM(K6:K17)</f>
        <v>5</v>
      </c>
      <c r="L19" s="158">
        <f>SUM(L6:L17)</f>
        <v>109106</v>
      </c>
      <c r="M19" s="149">
        <f t="shared" ref="M19:R19" si="0">SUM(M6:M17)</f>
        <v>215103</v>
      </c>
      <c r="N19" s="150">
        <f t="shared" si="0"/>
        <v>447502899</v>
      </c>
      <c r="O19" s="151">
        <f t="shared" si="0"/>
        <v>1021</v>
      </c>
      <c r="P19" s="152">
        <f t="shared" si="0"/>
        <v>33188759</v>
      </c>
      <c r="Q19" s="154">
        <f t="shared" si="0"/>
        <v>81796</v>
      </c>
      <c r="R19" s="157">
        <f t="shared" si="0"/>
        <v>250191733</v>
      </c>
      <c r="S19" s="220">
        <v>3320644009</v>
      </c>
    </row>
    <row r="20" spans="1:21" ht="13.5" thickTop="1" x14ac:dyDescent="0.2"/>
  </sheetData>
  <mergeCells count="11">
    <mergeCell ref="T18:U18"/>
    <mergeCell ref="M4:N4"/>
    <mergeCell ref="O4:P4"/>
    <mergeCell ref="Q4:R4"/>
    <mergeCell ref="D2:O2"/>
    <mergeCell ref="K4:L4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4294967294" verticalDpi="4294967294" r:id="rId1"/>
  <ignoredErrors>
    <ignoredError sqref="I19:J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DD23-F9B1-4D6E-BD40-9750881E5004}">
  <dimension ref="B2:I21"/>
  <sheetViews>
    <sheetView workbookViewId="0">
      <selection activeCell="B2" sqref="B2:I21"/>
    </sheetView>
  </sheetViews>
  <sheetFormatPr defaultRowHeight="15" x14ac:dyDescent="0.25"/>
  <cols>
    <col min="3" max="3" width="18.7109375" customWidth="1"/>
    <col min="8" max="8" width="18.140625" customWidth="1"/>
  </cols>
  <sheetData>
    <row r="2" spans="2:9" x14ac:dyDescent="0.25">
      <c r="B2" s="80"/>
      <c r="C2" s="80"/>
      <c r="D2" s="80"/>
      <c r="E2" s="80"/>
      <c r="F2" s="80"/>
      <c r="G2" s="80"/>
      <c r="H2" s="80"/>
      <c r="I2" s="80"/>
    </row>
    <row r="3" spans="2:9" x14ac:dyDescent="0.25">
      <c r="B3" s="80"/>
      <c r="C3" s="81"/>
      <c r="D3" s="80"/>
      <c r="E3" s="80"/>
      <c r="F3" s="80"/>
      <c r="G3" s="80"/>
      <c r="H3" s="81"/>
      <c r="I3" s="80"/>
    </row>
    <row r="4" spans="2:9" x14ac:dyDescent="0.25">
      <c r="B4" s="80"/>
      <c r="C4" s="81"/>
      <c r="D4" s="80"/>
      <c r="E4" s="80"/>
      <c r="F4" s="80"/>
      <c r="G4" s="80"/>
      <c r="H4" s="81"/>
      <c r="I4" s="80"/>
    </row>
    <row r="5" spans="2:9" x14ac:dyDescent="0.25">
      <c r="B5" s="80"/>
      <c r="C5" s="81"/>
      <c r="D5" s="80"/>
      <c r="E5" s="80"/>
      <c r="F5" s="80"/>
      <c r="G5" s="80"/>
      <c r="H5" s="81"/>
      <c r="I5" s="80"/>
    </row>
    <row r="6" spans="2:9" x14ac:dyDescent="0.25">
      <c r="B6" s="80"/>
      <c r="C6" s="81"/>
      <c r="D6" s="80"/>
      <c r="E6" s="80"/>
      <c r="F6" s="80"/>
      <c r="G6" s="80"/>
      <c r="H6" s="81"/>
      <c r="I6" s="80"/>
    </row>
    <row r="7" spans="2:9" x14ac:dyDescent="0.25">
      <c r="B7" s="80"/>
      <c r="C7" s="81"/>
      <c r="D7" s="80"/>
      <c r="E7" s="80"/>
      <c r="F7" s="80"/>
      <c r="G7" s="80"/>
      <c r="H7" s="81"/>
      <c r="I7" s="80"/>
    </row>
    <row r="8" spans="2:9" x14ac:dyDescent="0.25">
      <c r="B8" s="80"/>
      <c r="C8" s="81"/>
      <c r="D8" s="80"/>
      <c r="E8" s="80"/>
      <c r="F8" s="80"/>
      <c r="G8" s="80"/>
      <c r="H8" s="81"/>
      <c r="I8" s="80"/>
    </row>
    <row r="9" spans="2:9" x14ac:dyDescent="0.25">
      <c r="B9" s="80"/>
      <c r="C9" s="81"/>
      <c r="D9" s="80"/>
      <c r="E9" s="80"/>
      <c r="F9" s="80"/>
      <c r="G9" s="80"/>
      <c r="H9" s="81"/>
      <c r="I9" s="80"/>
    </row>
    <row r="10" spans="2:9" x14ac:dyDescent="0.25">
      <c r="B10" s="80"/>
      <c r="C10" s="81"/>
      <c r="D10" s="80"/>
      <c r="E10" s="80"/>
      <c r="F10" s="80"/>
      <c r="G10" s="80"/>
      <c r="H10" s="81"/>
      <c r="I10" s="80"/>
    </row>
    <row r="11" spans="2:9" x14ac:dyDescent="0.25">
      <c r="B11" s="80"/>
      <c r="C11" s="81"/>
      <c r="D11" s="80"/>
      <c r="E11" s="80"/>
      <c r="F11" s="80"/>
      <c r="G11" s="80"/>
      <c r="H11" s="81"/>
      <c r="I11" s="80"/>
    </row>
    <row r="12" spans="2:9" x14ac:dyDescent="0.25">
      <c r="B12" s="80"/>
      <c r="C12" s="81"/>
      <c r="D12" s="80"/>
      <c r="E12" s="80"/>
      <c r="F12" s="80"/>
      <c r="G12" s="80"/>
      <c r="H12" s="81"/>
      <c r="I12" s="80"/>
    </row>
    <row r="13" spans="2:9" x14ac:dyDescent="0.25">
      <c r="B13" s="80"/>
      <c r="C13" s="81"/>
      <c r="D13" s="80"/>
      <c r="E13" s="80"/>
      <c r="F13" s="80"/>
      <c r="G13" s="80"/>
      <c r="H13" s="81"/>
      <c r="I13" s="80"/>
    </row>
    <row r="14" spans="2:9" x14ac:dyDescent="0.25">
      <c r="B14" s="80"/>
      <c r="C14" s="81"/>
      <c r="D14" s="80"/>
      <c r="E14" s="80"/>
      <c r="F14" s="80"/>
      <c r="G14" s="80"/>
      <c r="H14" s="81"/>
      <c r="I14" s="80"/>
    </row>
    <row r="15" spans="2:9" x14ac:dyDescent="0.25">
      <c r="B15" s="80"/>
      <c r="C15" s="82"/>
      <c r="D15" s="80"/>
      <c r="E15" s="80"/>
      <c r="F15" s="80"/>
      <c r="G15" s="80"/>
      <c r="H15" s="83"/>
      <c r="I15" s="80"/>
    </row>
    <row r="16" spans="2:9" x14ac:dyDescent="0.25">
      <c r="B16" s="80"/>
      <c r="C16" s="80"/>
      <c r="D16" s="80"/>
      <c r="E16" s="80"/>
      <c r="F16" s="80"/>
      <c r="G16" s="80"/>
      <c r="H16" s="82"/>
      <c r="I16" s="80"/>
    </row>
    <row r="17" spans="2:9" x14ac:dyDescent="0.25">
      <c r="B17" s="80"/>
      <c r="C17" s="80"/>
      <c r="D17" s="80"/>
      <c r="E17" s="80"/>
      <c r="F17" s="80"/>
      <c r="G17" s="80"/>
      <c r="H17" s="80"/>
      <c r="I17" s="80"/>
    </row>
    <row r="18" spans="2:9" x14ac:dyDescent="0.25">
      <c r="B18" s="80"/>
      <c r="C18" s="80"/>
      <c r="D18" s="80"/>
      <c r="E18" s="80"/>
      <c r="F18" s="80"/>
      <c r="G18" s="80"/>
      <c r="H18" s="80"/>
      <c r="I18" s="80"/>
    </row>
    <row r="19" spans="2:9" x14ac:dyDescent="0.25">
      <c r="B19" s="80"/>
      <c r="C19" s="80"/>
      <c r="D19" s="80"/>
      <c r="E19" s="80"/>
      <c r="F19" s="80"/>
      <c r="G19" s="80"/>
      <c r="H19" s="80"/>
      <c r="I19" s="80"/>
    </row>
    <row r="20" spans="2:9" x14ac:dyDescent="0.25">
      <c r="B20" s="80"/>
      <c r="C20" s="80"/>
      <c r="D20" s="80"/>
      <c r="E20" s="80"/>
      <c r="F20" s="80"/>
      <c r="G20" s="80"/>
      <c r="H20" s="80"/>
      <c r="I20" s="80"/>
    </row>
    <row r="21" spans="2:9" x14ac:dyDescent="0.25">
      <c r="B21" s="80"/>
      <c r="C21" s="80"/>
      <c r="D21" s="80"/>
      <c r="E21" s="80"/>
      <c r="F21" s="80"/>
      <c r="G21" s="80"/>
      <c r="H21" s="80"/>
      <c r="I21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socijalna_zastita</vt:lpstr>
      <vt:lpstr>zastita_deca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Makedonka Angjelova</dc:creator>
  <cp:lastModifiedBy>Makedonka Angjelova</cp:lastModifiedBy>
  <dcterms:created xsi:type="dcterms:W3CDTF">2024-02-01T10:05:25Z</dcterms:created>
  <dcterms:modified xsi:type="dcterms:W3CDTF">2026-03-25T08:28:45Z</dcterms:modified>
</cp:coreProperties>
</file>